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5.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CHAPITRE 31 DIRIGEANTS/"/>
    </mc:Choice>
  </mc:AlternateContent>
  <xr:revisionPtr revIDLastSave="244" documentId="8_{96289E1F-D211-42EE-99CB-43462E0F874F}" xr6:coauthVersionLast="47" xr6:coauthVersionMax="47" xr10:uidLastSave="{6CF3EB62-BD74-43BC-906A-25D71234ED1F}"/>
  <bookViews>
    <workbookView xWindow="-108" yWindow="-108" windowWidth="23256" windowHeight="12456" firstSheet="6" activeTab="8" xr2:uid="{00000000-000D-0000-FFFF-FFFF00000000}"/>
  </bookViews>
  <sheets>
    <sheet name="PRESENTATION " sheetId="64" r:id="rId1"/>
    <sheet name="INTRODUCTION " sheetId="66" r:id="rId2"/>
    <sheet name="Masque de Saisie" sheetId="55" r:id="rId3"/>
    <sheet name="BP VERSION JANVIER 2023" sheetId="31" r:id="rId4"/>
    <sheet name="ENONCE ET CORRECTION " sheetId="88" r:id="rId5"/>
    <sheet name="FEUILLE DE CONTROLE " sheetId="67" r:id="rId6"/>
    <sheet name="BP FORMAT JUILLET 2023" sheetId="51" r:id="rId7"/>
    <sheet name="HEURES SUPPLEMENTAIRES " sheetId="33" r:id="rId8"/>
    <sheet name="BP INDEMNITE DE GERANCE " sheetId="89" r:id="rId9"/>
    <sheet name="TABLE DES TAUX 2025 " sheetId="50" r:id="rId10"/>
    <sheet name="TR Matrice Net Imposable " sheetId="77" r:id="rId11"/>
    <sheet name="TR Matrice Cotisations " sheetId="78" r:id="rId12"/>
    <sheet name="RED. GEN. de COT. Janv" sheetId="60" r:id="rId13"/>
    <sheet name="Red Gen de CoBP Format Juillet" sheetId="52" r:id="rId14"/>
    <sheet name="TAUX NEUTRE " sheetId="86" r:id="rId15"/>
    <sheet name="TAUX NEUTRE JANVIER  " sheetId="24" r:id="rId16"/>
    <sheet name="TAUX NEUTRE MAI " sheetId="85" r:id="rId17"/>
    <sheet name="MATRICE IJSS ABSENCE " sheetId="65" r:id="rId18"/>
    <sheet name="MATRICE IJSS MALADIE" sheetId="80" r:id="rId19"/>
    <sheet name="MATRICE IJSS MATERNITE " sheetId="81" r:id="rId20"/>
    <sheet name="MATRICE ISS AT " sheetId="82" r:id="rId21"/>
  </sheets>
  <definedNames>
    <definedName name="TABLE2019">#REF!</definedName>
    <definedName name="TABLE201NN">#REF!</definedName>
    <definedName name="TABLE20NN">#REF!</definedName>
    <definedName name="TABLETAUX">#REF!</definedName>
    <definedName name="TAUX2015">#REF!</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1" i="51" l="1"/>
  <c r="F73" i="89"/>
  <c r="G64" i="89"/>
  <c r="E136" i="89"/>
  <c r="E128" i="89"/>
  <c r="E129" i="89"/>
  <c r="E130" i="89"/>
  <c r="E131" i="89"/>
  <c r="E132" i="89"/>
  <c r="E133" i="89"/>
  <c r="E134" i="89"/>
  <c r="E135" i="89"/>
  <c r="E127" i="89"/>
  <c r="C133" i="89"/>
  <c r="C132" i="89"/>
  <c r="C131" i="89"/>
  <c r="C128" i="89"/>
  <c r="C127" i="89"/>
  <c r="D127" i="89"/>
  <c r="C129" i="89"/>
  <c r="C115" i="31" l="1"/>
  <c r="C129" i="51"/>
  <c r="B9" i="89"/>
  <c r="C33" i="89"/>
  <c r="J83" i="89"/>
  <c r="J89" i="89" s="1"/>
  <c r="F79" i="89"/>
  <c r="F45" i="89"/>
  <c r="F46" i="89"/>
  <c r="F47" i="89"/>
  <c r="F48" i="89"/>
  <c r="F52" i="89"/>
  <c r="F53" i="89"/>
  <c r="F54" i="89"/>
  <c r="F55" i="89"/>
  <c r="F56" i="89"/>
  <c r="F61" i="89"/>
  <c r="F62" i="89"/>
  <c r="F63" i="89"/>
  <c r="F65" i="89"/>
  <c r="F43" i="89"/>
  <c r="G38" i="89"/>
  <c r="G39" i="89"/>
  <c r="G40" i="89"/>
  <c r="G41" i="89"/>
  <c r="G42" i="89"/>
  <c r="G43" i="89"/>
  <c r="C66" i="89" s="1"/>
  <c r="G45" i="89"/>
  <c r="G46" i="89"/>
  <c r="G47" i="89"/>
  <c r="G48" i="89"/>
  <c r="G49" i="89"/>
  <c r="G52" i="89"/>
  <c r="G53" i="89"/>
  <c r="G54" i="89"/>
  <c r="G55" i="89"/>
  <c r="G56" i="89"/>
  <c r="G58" i="89"/>
  <c r="G59" i="89"/>
  <c r="G61" i="89"/>
  <c r="G73" i="89" s="1"/>
  <c r="J91" i="89" s="1"/>
  <c r="G62" i="89"/>
  <c r="G63" i="89"/>
  <c r="G65" i="89"/>
  <c r="G37" i="89"/>
  <c r="D10" i="89"/>
  <c r="G11" i="89"/>
  <c r="J10" i="89"/>
  <c r="H10" i="89"/>
  <c r="G38" i="67"/>
  <c r="G33" i="67"/>
  <c r="G31" i="67"/>
  <c r="C67" i="89" l="1"/>
  <c r="F67" i="89" s="1"/>
  <c r="J84" i="89" s="1"/>
  <c r="D88" i="89" s="1"/>
  <c r="F66" i="89"/>
  <c r="E61" i="51"/>
  <c r="D10" i="51"/>
  <c r="J13" i="51"/>
  <c r="G13" i="51"/>
  <c r="E61" i="31"/>
  <c r="G13" i="31"/>
  <c r="J13" i="31"/>
  <c r="C9" i="51"/>
  <c r="C9" i="31"/>
  <c r="F77" i="31"/>
  <c r="G12" i="67"/>
  <c r="D63" i="51"/>
  <c r="E63" i="51"/>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B26" i="85"/>
  <c r="B25" i="85"/>
  <c r="B24" i="85"/>
  <c r="B23" i="85"/>
  <c r="B22" i="85"/>
  <c r="B21" i="85"/>
  <c r="B20" i="85"/>
  <c r="E20" i="85" s="1"/>
  <c r="B19" i="85"/>
  <c r="E19" i="85" s="1"/>
  <c r="B18" i="85"/>
  <c r="B17" i="85"/>
  <c r="B16" i="85"/>
  <c r="B15" i="85"/>
  <c r="B14" i="85"/>
  <c r="B13" i="85"/>
  <c r="B12" i="85"/>
  <c r="B11" i="85"/>
  <c r="B10" i="85"/>
  <c r="B9" i="85"/>
  <c r="B8" i="85"/>
  <c r="E25" i="85"/>
  <c r="E24" i="85"/>
  <c r="E23" i="85"/>
  <c r="E22" i="85"/>
  <c r="E21" i="85"/>
  <c r="E16" i="85"/>
  <c r="E15" i="85"/>
  <c r="E14" i="85"/>
  <c r="E13" i="85"/>
  <c r="E12" i="85"/>
  <c r="E11" i="85"/>
  <c r="E8" i="85"/>
  <c r="E50" i="85"/>
  <c r="E49" i="85"/>
  <c r="E48" i="85"/>
  <c r="E47" i="85"/>
  <c r="E46" i="85"/>
  <c r="E45" i="85"/>
  <c r="E44" i="85"/>
  <c r="E43" i="85"/>
  <c r="E42" i="85"/>
  <c r="E41" i="85"/>
  <c r="E40" i="85"/>
  <c r="E39" i="85"/>
  <c r="E38" i="85"/>
  <c r="E37" i="85"/>
  <c r="E36" i="85"/>
  <c r="E35" i="85"/>
  <c r="E34" i="85"/>
  <c r="E33" i="85"/>
  <c r="E32" i="85"/>
  <c r="E31" i="85"/>
  <c r="E26" i="85"/>
  <c r="E18" i="85"/>
  <c r="E17" i="85"/>
  <c r="E10" i="85"/>
  <c r="E9" i="85"/>
  <c r="E7" i="85"/>
  <c r="A145" i="33"/>
  <c r="E49" i="51"/>
  <c r="D125" i="51"/>
  <c r="E47" i="31"/>
  <c r="D111" i="3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60" i="80"/>
  <c r="C47" i="80"/>
  <c r="B16" i="81"/>
  <c r="C14" i="80"/>
  <c r="E51" i="85" l="1"/>
  <c r="E27" i="85"/>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H30" i="81" l="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6" i="51" l="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45" i="65"/>
  <c r="C14"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21" i="31" l="1"/>
  <c r="J20" i="31"/>
  <c r="J19" i="31"/>
  <c r="J18" i="31"/>
  <c r="I21" i="31"/>
  <c r="G47" i="51"/>
  <c r="G48" i="51"/>
  <c r="F81" i="51"/>
  <c r="G80" i="51"/>
  <c r="F80" i="51"/>
  <c r="J21" i="31" l="1"/>
  <c r="D76" i="51" l="1"/>
  <c r="E75" i="51"/>
  <c r="D75" i="51"/>
  <c r="E43" i="51"/>
  <c r="D43" i="51"/>
  <c r="E40" i="51"/>
  <c r="D40" i="51"/>
  <c r="D41" i="31"/>
  <c r="E38" i="31"/>
  <c r="D38" i="31"/>
  <c r="E40" i="31"/>
  <c r="D40" i="31"/>
  <c r="E39" i="31"/>
  <c r="D39" i="31"/>
  <c r="G21" i="51"/>
  <c r="C33" i="31" l="1"/>
  <c r="E89" i="33"/>
  <c r="E88" i="33"/>
  <c r="D10" i="31"/>
  <c r="E42" i="31"/>
  <c r="D43" i="31"/>
  <c r="E78" i="51"/>
  <c r="D78" i="51"/>
  <c r="G11" i="31"/>
  <c r="J10" i="31"/>
  <c r="H10" i="31"/>
  <c r="J9" i="31"/>
  <c r="I9" i="31"/>
  <c r="B9" i="31"/>
  <c r="E7" i="60" s="1"/>
  <c r="G8" i="31"/>
  <c r="G7" i="31"/>
  <c r="B7" i="31"/>
  <c r="G6" i="31"/>
  <c r="B6" i="31"/>
  <c r="G5" i="31"/>
  <c r="G4" i="31"/>
  <c r="B4" i="31"/>
  <c r="G3" i="31"/>
  <c r="B3" i="31"/>
  <c r="F75" i="31"/>
  <c r="G11" i="67" s="1"/>
  <c r="G74" i="31"/>
  <c r="F74" i="31"/>
  <c r="G10" i="67" s="1"/>
  <c r="C33" i="51"/>
  <c r="C125" i="33" s="1"/>
  <c r="D129" i="33" s="1"/>
  <c r="G11" i="51"/>
  <c r="J10" i="51"/>
  <c r="H10" i="51"/>
  <c r="J9" i="51"/>
  <c r="I9" i="51"/>
  <c r="G7" i="51"/>
  <c r="G5" i="51"/>
  <c r="G8" i="51"/>
  <c r="G4" i="51"/>
  <c r="G3" i="51"/>
  <c r="E118" i="55"/>
  <c r="F118" i="55" s="1"/>
  <c r="E117" i="55"/>
  <c r="F117" i="55" s="1"/>
  <c r="C8" i="86" l="1"/>
  <c r="B9" i="86" s="1"/>
  <c r="C16" i="86"/>
  <c r="B17" i="86" s="1"/>
  <c r="C24" i="86"/>
  <c r="B25" i="86" s="1"/>
  <c r="C9" i="86"/>
  <c r="B10" i="86" s="1"/>
  <c r="C17" i="86"/>
  <c r="B18" i="86" s="1"/>
  <c r="C25" i="86"/>
  <c r="B26" i="86" s="1"/>
  <c r="C11" i="86"/>
  <c r="B12" i="86" s="1"/>
  <c r="C19" i="86"/>
  <c r="B20" i="86" s="1"/>
  <c r="C7" i="86"/>
  <c r="B8" i="86" s="1"/>
  <c r="C12" i="86"/>
  <c r="B13" i="86" s="1"/>
  <c r="C20" i="86"/>
  <c r="B21" i="86" s="1"/>
  <c r="C13" i="86"/>
  <c r="B14" i="86" s="1"/>
  <c r="C21" i="86"/>
  <c r="B22" i="86" s="1"/>
  <c r="C14" i="86"/>
  <c r="B15" i="86" s="1"/>
  <c r="C22" i="86"/>
  <c r="B23" i="86" s="1"/>
  <c r="C15" i="86"/>
  <c r="B16" i="86" s="1"/>
  <c r="C23" i="86"/>
  <c r="B24" i="86" s="1"/>
  <c r="C10" i="86"/>
  <c r="B11" i="86" s="1"/>
  <c r="C18" i="86"/>
  <c r="B19" i="86" s="1"/>
  <c r="C26" i="86"/>
  <c r="E6" i="60"/>
  <c r="E6" i="52"/>
  <c r="I21" i="51"/>
  <c r="J33" i="31"/>
  <c r="E10" i="60" s="1"/>
  <c r="J20" i="51"/>
  <c r="J19" i="51"/>
  <c r="J18" i="51"/>
  <c r="E5" i="60" l="1"/>
  <c r="E4" i="60"/>
  <c r="E5" i="52"/>
  <c r="E4" i="52"/>
  <c r="C38" i="31"/>
  <c r="G36" i="67"/>
  <c r="G17" i="67"/>
  <c r="G8" i="67"/>
  <c r="C43" i="31"/>
  <c r="G43" i="31" s="1"/>
  <c r="C114" i="31" s="1"/>
  <c r="C42" i="31"/>
  <c r="J21" i="51"/>
  <c r="J33" i="51" s="1"/>
  <c r="E10" i="52" s="1"/>
  <c r="B16" i="52" s="1"/>
  <c r="C43" i="51" l="1"/>
  <c r="D54" i="51"/>
  <c r="E54" i="51"/>
  <c r="E53" i="51"/>
  <c r="D53" i="51"/>
  <c r="F43" i="31"/>
  <c r="E85" i="33"/>
  <c r="B57" i="33"/>
  <c r="E8" i="60"/>
  <c r="E8" i="52"/>
  <c r="D16" i="60" l="1"/>
  <c r="B10" i="51"/>
  <c r="E9" i="52" s="1"/>
  <c r="G78" i="51"/>
  <c r="C128" i="51" s="1"/>
  <c r="F78" i="51"/>
  <c r="B10" i="3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2" i="31"/>
  <c r="G39" i="51"/>
  <c r="G41" i="51"/>
  <c r="G42" i="51"/>
  <c r="G62" i="51"/>
  <c r="F39" i="51"/>
  <c r="F41" i="51"/>
  <c r="F42" i="51"/>
  <c r="F47" i="51"/>
  <c r="F48" i="51"/>
  <c r="F55" i="51"/>
  <c r="F56" i="51"/>
  <c r="F62" i="51"/>
  <c r="F71" i="51"/>
  <c r="D66" i="51"/>
  <c r="D67" i="51"/>
  <c r="D70" i="51" s="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112" i="31" l="1"/>
  <c r="C116" i="31"/>
  <c r="E51" i="31"/>
  <c r="G19" i="67"/>
  <c r="D69" i="51"/>
  <c r="D68" i="51"/>
  <c r="E116" i="31"/>
  <c r="E115" i="31"/>
  <c r="D52" i="51"/>
  <c r="D41" i="33" s="1"/>
  <c r="D45" i="51"/>
  <c r="F45" i="51" s="1"/>
  <c r="D46" i="51"/>
  <c r="F46" i="51" s="1"/>
  <c r="D51" i="51"/>
  <c r="D40" i="33" s="1"/>
  <c r="C112" i="51"/>
  <c r="C103" i="51"/>
  <c r="C16" i="52" l="1"/>
  <c r="E16" i="52" s="1"/>
  <c r="C16" i="60"/>
  <c r="E16" i="60" s="1"/>
  <c r="C124" i="51"/>
  <c r="E124" i="51" s="1"/>
  <c r="C133" i="51"/>
  <c r="E133" i="51" s="1"/>
  <c r="B16" i="60" l="1"/>
  <c r="F16" i="60" s="1"/>
  <c r="G16" i="60" s="1"/>
  <c r="H16" i="60" s="1"/>
  <c r="I16" i="60" s="1"/>
  <c r="J16" i="60" s="1"/>
  <c r="C57" i="33"/>
  <c r="C132" i="51"/>
  <c r="E132" i="51" s="1"/>
  <c r="G71" i="31" l="1"/>
  <c r="J85" i="31" s="1"/>
  <c r="E57" i="33"/>
  <c r="D42" i="33"/>
  <c r="D51" i="31"/>
  <c r="C75" i="51"/>
  <c r="C40" i="51"/>
  <c r="C44" i="51"/>
  <c r="F16" i="52"/>
  <c r="G16" i="52" s="1"/>
  <c r="H16" i="52" s="1"/>
  <c r="I16" i="52" s="1"/>
  <c r="J16" i="52" s="1"/>
  <c r="C61" i="51"/>
  <c r="C76" i="51"/>
  <c r="B96" i="51"/>
  <c r="C49" i="51"/>
  <c r="G49" i="51" s="1"/>
  <c r="C125" i="51"/>
  <c r="E125" i="51" s="1"/>
  <c r="G59" i="51"/>
  <c r="C58" i="51"/>
  <c r="G58" i="51" s="1"/>
  <c r="E52" i="31"/>
  <c r="C53" i="51"/>
  <c r="C52" i="51"/>
  <c r="C51" i="51"/>
  <c r="C131" i="51"/>
  <c r="C37" i="51"/>
  <c r="G37" i="51" s="1"/>
  <c r="C54" i="51"/>
  <c r="C126" i="51"/>
  <c r="C123" i="51"/>
  <c r="E123" i="51" s="1"/>
  <c r="D111" i="51"/>
  <c r="D102" i="51"/>
  <c r="E126" i="51" l="1"/>
  <c r="C130" i="51"/>
  <c r="C49" i="67"/>
  <c r="G71" i="51"/>
  <c r="J91" i="51" s="1"/>
  <c r="E50" i="67" s="1"/>
  <c r="E91" i="33"/>
  <c r="D131" i="33"/>
  <c r="G57" i="33"/>
  <c r="D132" i="33" s="1"/>
  <c r="F44" i="51"/>
  <c r="G44" i="51"/>
  <c r="G40" i="51"/>
  <c r="F40" i="51"/>
  <c r="C72" i="51"/>
  <c r="B95" i="51" s="1"/>
  <c r="G43" i="51"/>
  <c r="G37" i="67" s="1"/>
  <c r="F43" i="51"/>
  <c r="E43" i="33"/>
  <c r="G54" i="51"/>
  <c r="F54" i="51"/>
  <c r="G38" i="51"/>
  <c r="E40" i="33"/>
  <c r="F40" i="33" s="1"/>
  <c r="G51" i="51"/>
  <c r="F51" i="51"/>
  <c r="E41" i="33"/>
  <c r="F41" i="33" s="1"/>
  <c r="G52" i="51"/>
  <c r="F52" i="51"/>
  <c r="E42" i="33"/>
  <c r="F42" i="33" s="1"/>
  <c r="G53" i="51"/>
  <c r="F53" i="51"/>
  <c r="D43" i="33"/>
  <c r="D52" i="31"/>
  <c r="E130" i="51"/>
  <c r="E129" i="51"/>
  <c r="C63" i="51"/>
  <c r="G61" i="51"/>
  <c r="D103" i="51"/>
  <c r="D104" i="51" s="1"/>
  <c r="D112" i="51"/>
  <c r="E86" i="33" l="1"/>
  <c r="E49" i="67"/>
  <c r="G49" i="67" s="1"/>
  <c r="J87" i="51"/>
  <c r="F43" i="33"/>
  <c r="F49" i="33" s="1"/>
  <c r="F50" i="33" s="1"/>
  <c r="F141" i="33"/>
  <c r="C72" i="31" s="1"/>
  <c r="D133" i="33"/>
  <c r="E98" i="33"/>
  <c r="G63" i="51"/>
  <c r="F63" i="51"/>
  <c r="E87" i="33" l="1"/>
  <c r="F137" i="33"/>
  <c r="C68" i="51" s="1"/>
  <c r="F138" i="33"/>
  <c r="C69" i="51" s="1"/>
  <c r="F140" i="33" l="1"/>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F59" i="31"/>
  <c r="G59" i="31"/>
  <c r="G37" i="31"/>
  <c r="F37" i="31"/>
  <c r="G34" i="67" l="1"/>
  <c r="C113" i="31"/>
  <c r="C50" i="67"/>
  <c r="G50" i="67" s="1"/>
  <c r="E113" i="31" l="1"/>
  <c r="E120" i="31" s="1"/>
  <c r="G64" i="31" s="1"/>
  <c r="H34" i="67"/>
  <c r="C45" i="67" s="1"/>
  <c r="G73" i="31" l="1"/>
  <c r="C47" i="67" s="1"/>
  <c r="J84" i="31" l="1"/>
  <c r="F76" i="51" l="1"/>
  <c r="G76" i="51"/>
  <c r="G39" i="67" s="1"/>
  <c r="F75" i="51"/>
  <c r="G75" i="51"/>
  <c r="E99" i="33" l="1"/>
  <c r="D134" i="33" s="1"/>
  <c r="F136" i="33" s="1"/>
  <c r="C127" i="51"/>
  <c r="C66" i="51" l="1"/>
  <c r="I39" i="67" s="1"/>
  <c r="E48" i="67" s="1"/>
  <c r="E127" i="51"/>
  <c r="E134" i="51" s="1"/>
  <c r="G64" i="51" s="1"/>
  <c r="G73" i="51" s="1"/>
  <c r="E47" i="67" s="1"/>
  <c r="G47" i="67" s="1"/>
  <c r="I34" i="67"/>
  <c r="E45" i="67" s="1"/>
  <c r="G45" i="67" s="1"/>
  <c r="F139" i="33"/>
  <c r="C66" i="31"/>
  <c r="H39" i="67" s="1"/>
  <c r="C48" i="67" s="1"/>
  <c r="G48" i="67" s="1"/>
  <c r="C67" i="51" l="1"/>
  <c r="F67" i="51" s="1"/>
  <c r="E93" i="33" s="1"/>
  <c r="J92" i="51"/>
  <c r="D107" i="51"/>
  <c r="D116" i="51"/>
  <c r="E114" i="51" s="1"/>
  <c r="F66" i="51"/>
  <c r="E92" i="33" l="1"/>
  <c r="F73" i="51"/>
  <c r="F79" i="51" s="1"/>
  <c r="E46" i="67" l="1"/>
  <c r="J84" i="51"/>
  <c r="I14" i="67" s="1"/>
  <c r="E42" i="67" s="1"/>
  <c r="E97" i="33"/>
  <c r="E100" i="33" s="1"/>
  <c r="J85" i="51" l="1"/>
  <c r="D89" i="51" s="1"/>
  <c r="H11" i="86" s="1"/>
  <c r="J87" i="31"/>
  <c r="D83" i="31" s="1"/>
  <c r="E26" i="86" l="1"/>
  <c r="E21" i="86"/>
  <c r="E11" i="86"/>
  <c r="E9" i="86"/>
  <c r="E25" i="86"/>
  <c r="E13" i="86"/>
  <c r="E15" i="86"/>
  <c r="E16" i="86"/>
  <c r="E8" i="86"/>
  <c r="E24" i="86"/>
  <c r="E7" i="86"/>
  <c r="E22" i="86"/>
  <c r="E23" i="86"/>
  <c r="E17" i="86"/>
  <c r="E14" i="86"/>
  <c r="E20" i="86"/>
  <c r="E18" i="86"/>
  <c r="E10" i="86"/>
  <c r="E19" i="86"/>
  <c r="E12" i="86"/>
  <c r="E23" i="24"/>
  <c r="E16" i="24"/>
  <c r="E7" i="24"/>
  <c r="E24" i="24"/>
  <c r="E14" i="24"/>
  <c r="E15" i="24"/>
  <c r="E10" i="24"/>
  <c r="E18" i="24"/>
  <c r="E19" i="24"/>
  <c r="E22" i="24"/>
  <c r="E17" i="24"/>
  <c r="E21" i="24"/>
  <c r="E8" i="24"/>
  <c r="E20" i="24"/>
  <c r="E11" i="24"/>
  <c r="E26" i="24"/>
  <c r="E13" i="24"/>
  <c r="E12" i="24"/>
  <c r="E9" i="24"/>
  <c r="E25" i="24"/>
  <c r="I22" i="67"/>
  <c r="E43" i="67" s="1"/>
  <c r="B97" i="51"/>
  <c r="E27" i="86" l="1"/>
  <c r="H12" i="86" s="1"/>
  <c r="E27" i="24"/>
  <c r="H12" i="24" s="1"/>
  <c r="I28" i="67"/>
  <c r="E44" i="67" s="1"/>
  <c r="F66" i="31"/>
  <c r="C67" i="31"/>
  <c r="F67" i="31" s="1"/>
  <c r="D129" i="31"/>
  <c r="F127" i="31" s="1"/>
  <c r="J79" i="31" s="1"/>
  <c r="F83" i="31" l="1"/>
  <c r="F89" i="51"/>
  <c r="F73" i="31"/>
  <c r="G21" i="67"/>
  <c r="C46" i="67" l="1"/>
  <c r="G46" i="67" s="1"/>
  <c r="J78" i="31"/>
  <c r="H14" i="67" s="1"/>
  <c r="C42" i="67" s="1"/>
  <c r="G42" i="67" s="1"/>
  <c r="H89" i="51"/>
  <c r="J90" i="51" s="1"/>
  <c r="G25" i="67"/>
  <c r="G28" i="67" s="1"/>
  <c r="C44" i="67" s="1"/>
  <c r="G44" i="67" s="1"/>
  <c r="H22" i="67"/>
  <c r="G18" i="67"/>
  <c r="G22" i="67" s="1"/>
  <c r="C43" i="67" s="1"/>
  <c r="G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55F85A70-DD5E-4614-A103-8FC12C1E39CB}">
      <text>
        <r>
          <rPr>
            <sz val="9"/>
            <color indexed="81"/>
            <rFont val="Tahoma"/>
            <family val="2"/>
          </rPr>
          <t xml:space="preserve">
</t>
        </r>
        <r>
          <rPr>
            <sz val="8"/>
            <color indexed="81"/>
            <rFont val="Times New Roman"/>
            <family val="1"/>
          </rPr>
          <t xml:space="preserve">(En plus des 7 % si Salaire Brut &gt; 2,25 SMIC </t>
        </r>
      </text>
    </comment>
    <comment ref="C38" authorId="0" shapeId="0" xr:uid="{69B1D781-3ECC-41DE-A812-D952A020E484}">
      <text>
        <r>
          <rPr>
            <sz val="9"/>
            <color indexed="81"/>
            <rFont val="Tahoma"/>
            <family val="2"/>
          </rPr>
          <t xml:space="preserve">En cumul avec la rémunération du salaire la limite a bien été dépassée 
</t>
        </r>
      </text>
    </comment>
    <comment ref="C44" authorId="0" shapeId="0" xr:uid="{38AB50DC-3659-4BDD-8EBC-72AC9FF79D45}">
      <text>
        <r>
          <rPr>
            <sz val="9"/>
            <color indexed="81"/>
            <rFont val="Tahoma"/>
            <family val="2"/>
          </rPr>
          <t xml:space="preserve">L'assurance décés des cadres n'a pas à être activée puisque la tranche A est déjà couverte par les 6000 euros de salaire 
</t>
        </r>
      </text>
    </comment>
    <comment ref="C53" authorId="0" shapeId="0" xr:uid="{B4521E30-4CF9-40ED-AC2A-FC23373BC51F}">
      <text>
        <r>
          <rPr>
            <sz val="9"/>
            <color indexed="81"/>
            <rFont val="Tahoma"/>
            <family val="2"/>
          </rPr>
          <t xml:space="preserve">
La T1 est déjà couverte par les 6000 euros de salaire </t>
        </r>
      </text>
    </comment>
    <comment ref="C59" authorId="0" shapeId="0" xr:uid="{9A2A0F6D-6258-4862-83FF-644FB804990D}">
      <text>
        <r>
          <rPr>
            <sz val="9"/>
            <color indexed="81"/>
            <rFont val="Tahoma"/>
            <family val="2"/>
          </rPr>
          <t>La limite de 3,3 SMIC est bien dépassée en l'occurrence dans cet exemple par le salaire de 6000</t>
        </r>
      </text>
    </comment>
    <comment ref="C61" authorId="0" shapeId="0" xr:uid="{BC8A95FB-65CF-4798-BA4B-3E483A54E212}">
      <text>
        <r>
          <rPr>
            <sz val="9"/>
            <color indexed="81"/>
            <rFont val="Tahoma"/>
            <family val="2"/>
          </rPr>
          <t xml:space="preserve">La tranche A+ B maxi (15700 en 2025) n'est pas entièrement servie en cumulant 600 et 1500
</t>
        </r>
      </text>
    </comment>
    <comment ref="C63" authorId="0" shapeId="0" xr:uid="{8A7ACED4-8D50-4DED-B395-035AC194115A}">
      <text>
        <r>
          <rPr>
            <sz val="9"/>
            <color indexed="81"/>
            <rFont val="Tahoma"/>
            <family val="2"/>
          </rPr>
          <t xml:space="preserve">Le gérant selon l'hypothèse retenue remplit les conditions  d'affiliation à France Travail donc cotise à la fois sur son activité de salarié et celle de gérance
</t>
        </r>
      </text>
    </comment>
    <comment ref="F79" authorId="0" shapeId="0" xr:uid="{246D73A1-A24B-468B-BE38-104825D24B50}">
      <text>
        <r>
          <rPr>
            <sz val="9"/>
            <color indexed="81"/>
            <rFont val="Tahoma"/>
            <family val="2"/>
          </rPr>
          <t xml:space="preserve">Le MNS comprend les IJSS Nettes (2025) lorsque l'entreprise  pratique  la subrogation. 
En cas de non subrogation c'est au salarié de le faire. </t>
        </r>
      </text>
    </comment>
    <comment ref="F83" authorId="0" shapeId="0" xr:uid="{DFBD1E0B-BEB6-41E6-8D03-6246209115C3}">
      <text>
        <r>
          <rPr>
            <sz val="9"/>
            <color indexed="81"/>
            <rFont val="Tahoma"/>
            <family val="2"/>
          </rPr>
          <t xml:space="preserve">
En cas de non subrogation les IJSS nettes n'apparaissent jamais sur le bas du BP</t>
        </r>
      </text>
    </comment>
    <comment ref="D89" authorId="0" shapeId="0" xr:uid="{43E5EA14-F7E2-41BA-8146-8D0883BE10F5}">
      <text>
        <r>
          <rPr>
            <sz val="9"/>
            <color indexed="81"/>
            <rFont val="Tahoma"/>
            <family val="2"/>
          </rPr>
          <t xml:space="preserve">La base du PAS n'est pas toujours égale au Net Imposable. </t>
        </r>
      </text>
    </comment>
    <comment ref="F89" authorId="0" shapeId="0" xr:uid="{1A7A7DA8-1A39-4A64-B59E-3CA739833512}">
      <text>
        <r>
          <rPr>
            <sz val="9"/>
            <color indexed="81"/>
            <rFont val="Tahoma"/>
            <family val="2"/>
          </rPr>
          <t xml:space="preserve">Le taux du PAS est récupéré automatiquement dans la Feuille TAUX NEUTRE ( dans le cas où celui-ci s'applique) 
</t>
        </r>
      </text>
    </comment>
    <comment ref="C125" authorId="0" shapeId="0" xr:uid="{782608D9-B581-4365-88A2-4F361301C99A}">
      <text>
        <r>
          <rPr>
            <sz val="9"/>
            <color indexed="81"/>
            <rFont val="Tahoma"/>
            <family val="2"/>
          </rPr>
          <t xml:space="preserve">La TA / T1 est déjà compléte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<sst xmlns="http://schemas.openxmlformats.org/spreadsheetml/2006/main" count="1551" uniqueCount="885">
  <si>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</si>
  <si>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</si>
  <si>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</si>
  <si>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</si>
  <si>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</si>
  <si>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</si>
  <si>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</si>
  <si>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</si>
  <si>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</si>
  <si>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</si>
  <si>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</si>
  <si>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</si>
  <si>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</si>
  <si>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</si>
  <si>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</si>
  <si>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</si>
  <si>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</si>
  <si>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</si>
  <si>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</si>
  <si>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</si>
  <si>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</si>
  <si>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</si>
  <si>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</si>
  <si>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</si>
  <si>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</si>
  <si>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</si>
  <si>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</si>
  <si>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</si>
  <si>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</si>
  <si>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</si>
  <si>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</si>
  <si>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</si>
  <si>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</si>
  <si>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</si>
  <si>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</si>
  <si>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</si>
  <si>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</si>
  <si>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</si>
  <si>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</si>
  <si>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</si>
  <si>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</si>
  <si>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</si>
  <si>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</si>
  <si>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</si>
  <si>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</si>
  <si>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</si>
  <si>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</si>
  <si>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</si>
  <si>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</si>
  <si>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</si>
  <si>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</si>
  <si>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</si>
  <si>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</si>
  <si>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</si>
  <si>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</si>
  <si>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</si>
  <si>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</si>
  <si>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</si>
  <si>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</si>
  <si>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</si>
  <si>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</si>
  <si>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</si>
  <si>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</si>
  <si>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</si>
  <si>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</si>
  <si>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</si>
  <si>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</si>
  <si>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</si>
  <si>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</si>
  <si>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</si>
  <si>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</si>
  <si>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</si>
  <si>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</si>
  <si>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</si>
  <si>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</si>
  <si>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</si>
  <si>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</si>
  <si>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</si>
  <si>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</si>
  <si>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</si>
  <si>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</si>
  <si>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</si>
  <si>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</si>
  <si>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</si>
  <si>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</si>
  <si>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</si>
  <si>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</si>
  <si>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</si>
  <si>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</si>
  <si>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</si>
  <si>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</si>
  <si>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</si>
  <si>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</si>
  <si>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</si>
  <si>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</si>
  <si>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</si>
  <si>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</si>
  <si>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</si>
  <si>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</si>
  <si>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</si>
  <si>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</si>
  <si>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</si>
  <si>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</si>
  <si>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</si>
  <si>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</si>
  <si>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</si>
  <si>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</si>
  <si>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</si>
  <si>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</si>
  <si>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</si>
  <si>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</si>
  <si>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</si>
  <si>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</si>
  <si>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</si>
  <si>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</si>
  <si>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</si>
  <si>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</si>
  <si>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</si>
  <si>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</si>
  <si>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</si>
  <si>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</si>
  <si>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</si>
  <si>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</si>
  <si>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</si>
  <si>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</si>
  <si>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</si>
  <si>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</si>
  <si>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</si>
  <si>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</si>
  <si>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</si>
  <si>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</si>
  <si>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</si>
  <si>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</si>
  <si>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</si>
  <si>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</si>
  <si>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</si>
  <si>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</si>
  <si>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</si>
  <si>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</si>
  <si>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</si>
  <si>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</si>
  <si>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</si>
  <si>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</si>
  <si>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</si>
  <si>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</si>
  <si>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</si>
  <si>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</si>
  <si>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</si>
  <si>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</si>
  <si>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</si>
  <si>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</si>
  <si>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</si>
  <si>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</si>
  <si>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</si>
  <si>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</si>
  <si>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</si>
  <si>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</si>
  <si>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</si>
  <si>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</si>
  <si>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</si>
  <si>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</si>
  <si>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</si>
  <si>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</si>
  <si>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</si>
  <si>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</si>
  <si>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</si>
  <si>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</si>
  <si>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</si>
  <si>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</si>
  <si>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</si>
  <si>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</si>
  <si>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</si>
  <si>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</si>
  <si>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</si>
  <si>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</si>
  <si>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</si>
  <si>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</si>
  <si>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</si>
  <si>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</si>
  <si>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</si>
  <si>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</si>
  <si>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</si>
  <si>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</si>
  <si>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</si>
  <si>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</si>
  <si>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</si>
  <si>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</si>
  <si>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</si>
  <si>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</si>
  <si>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</si>
  <si>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</si>
  <si>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</si>
  <si>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</si>
  <si>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</si>
  <si>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</si>
  <si>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</si>
  <si>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</si>
  <si>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</si>
  <si>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</si>
  <si>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</si>
  <si>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</si>
  <si>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</si>
  <si>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</si>
  <si>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</si>
  <si>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</si>
  <si>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</si>
  <si>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</si>
  <si>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</si>
  <si>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</si>
  <si>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</si>
  <si>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</si>
  <si>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</si>
  <si>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</si>
  <si>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</si>
  <si>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</si>
  <si>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</si>
  <si>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</si>
  <si>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</si>
  <si>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</si>
  <si>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</si>
  <si>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</si>
  <si>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</si>
  <si>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</si>
  <si>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</si>
  <si>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</si>
  <si>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</si>
  <si>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</si>
  <si>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</si>
  <si>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</si>
  <si>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</si>
  <si>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</si>
  <si>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</si>
  <si>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</si>
  <si>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</si>
  <si>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</si>
  <si>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</si>
  <si>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</si>
  <si>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</si>
  <si>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</si>
  <si>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</si>
  <si>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</si>
  <si>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</si>
  <si>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</si>
  <si>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</si>
  <si>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</si>
  <si>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</si>
  <si>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</si>
  <si>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</si>
  <si>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</si>
  <si>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</si>
  <si>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</si>
  <si>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</si>
  <si>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</si>
  <si>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</si>
  <si>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</si>
  <si>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</si>
  <si>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</si>
  <si>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</si>
  <si>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</si>
  <si>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</si>
  <si>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</si>
  <si>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</si>
  <si>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</si>
  <si>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</si>
  <si>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</si>
  <si>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</si>
  <si>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</si>
  <si>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</si>
  <si>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</si>
  <si>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</si>
  <si>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</si>
  <si>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</si>
  <si>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</si>
  <si>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</si>
  <si>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</si>
  <si>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</si>
  <si>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</si>
  <si>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</si>
  <si>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</si>
  <si>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</si>
  <si>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</si>
  <si>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</si>
  <si>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</si>
  <si>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</si>
  <si>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</si>
  <si>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</si>
  <si>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</si>
  <si>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</si>
  <si>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</si>
  <si>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</si>
  <si>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</si>
  <si>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</si>
  <si>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</si>
  <si>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</si>
  <si>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</si>
  <si>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</si>
  <si>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</si>
  <si>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</si>
  <si>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</si>
  <si>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</si>
  <si>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</si>
  <si>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</si>
  <si>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</si>
  <si>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</si>
  <si>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</si>
  <si>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</si>
  <si>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</si>
  <si>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</si>
  <si>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</si>
  <si>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</si>
  <si>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</si>
  <si>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</si>
  <si>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</si>
  <si>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</si>
  <si>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</si>
  <si>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</si>
  <si>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</si>
  <si>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</si>
  <si>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</si>
  <si>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</si>
  <si>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</si>
  <si>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</si>
  <si>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</si>
  <si>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</si>
  <si>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</si>
  <si>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</si>
  <si>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</si>
  <si>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</si>
  <si>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</si>
  <si>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</si>
  <si>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</si>
  <si>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</si>
  <si>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</si>
  <si>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</si>
  <si>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</si>
  <si>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</si>
  <si>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</si>
  <si>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</si>
  <si>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</si>
  <si>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</si>
  <si>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</si>
  <si>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</si>
  <si>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</si>
  <si>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</si>
  <si>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</si>
  <si>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</si>
  <si>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</si>
  <si>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</si>
  <si>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</si>
  <si>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</si>
  <si>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</si>
  <si>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</si>
  <si>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</si>
  <si>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</si>
  <si>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</si>
  <si>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</si>
  <si>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</si>
  <si>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</si>
  <si>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</si>
  <si>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</si>
  <si>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</si>
  <si>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</si>
  <si>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</si>
  <si>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</si>
  <si>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</si>
  <si>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</si>
  <si>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</si>
  <si>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</si>
  <si>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</si>
  <si>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</si>
  <si>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</si>
  <si>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</si>
  <si>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</si>
  <si>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</si>
  <si>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</si>
  <si>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</si>
  <si>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</si>
  <si>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</si>
  <si>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</si>
  <si>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</si>
  <si>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</si>
  <si>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</si>
  <si>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</si>
  <si>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</si>
  <si>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</si>
  <si>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</si>
  <si>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</si>
  <si>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</si>
  <si>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</si>
  <si>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</si>
  <si>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</si>
  <si>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</si>
  <si>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</si>
  <si>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</si>
  <si>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</si>
  <si>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</si>
  <si>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</si>
  <si>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</si>
  <si>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</si>
  <si>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</si>
  <si>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</si>
  <si>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</si>
  <si>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</si>
  <si>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</si>
  <si>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</si>
  <si>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</si>
  <si>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</si>
  <si>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</si>
  <si>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</si>
  <si>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</si>
  <si>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</si>
  <si>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</si>
  <si>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</si>
  <si>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</si>
  <si>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</si>
  <si>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</si>
  <si>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</si>
  <si>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</si>
  <si>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</si>
  <si>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</si>
  <si>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</si>
  <si>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</si>
  <si>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</si>
  <si>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</si>
  <si>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</si>
  <si>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</si>
  <si>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</si>
  <si>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</si>
  <si>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</si>
  <si>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</si>
  <si>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</si>
  <si>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</si>
  <si>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</si>
  <si>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</si>
  <si>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</si>
  <si>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</si>
  <si>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</si>
  <si>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</si>
  <si>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</si>
  <si>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</si>
  <si>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</si>
  <si>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</si>
  <si>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</si>
  <si>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</si>
  <si>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</si>
  <si>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</si>
  <si>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</si>
  <si>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</si>
  <si>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</si>
  <si>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</si>
  <si>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</si>
  <si>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</si>
  <si>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</si>
  <si>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</si>
  <si>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</si>
  <si>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</si>
  <si>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</si>
  <si>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</si>
  <si>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</si>
  <si>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</si>
  <si>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</si>
  <si>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</si>
  <si>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</si>
  <si>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</si>
  <si>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</si>
  <si>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</si>
  <si>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</si>
  <si>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</si>
  <si>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</si>
  <si>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</si>
  <si>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</si>
  <si>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</si>
  <si>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</si>
  <si>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</si>
  <si>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</si>
  <si>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</si>
  <si>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</si>
  <si>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</si>
  <si>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</si>
  <si>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</si>
  <si>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</si>
  <si>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</si>
  <si>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</si>
  <si>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</si>
  <si>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</si>
  <si>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</si>
  <si>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</si>
  <si>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</si>
  <si>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</si>
  <si>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</si>
  <si>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</si>
  <si>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</si>
  <si>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</si>
  <si>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</si>
  <si>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</si>
  <si>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</si>
  <si>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</si>
  <si>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</si>
  <si>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</si>
  <si>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</si>
  <si>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</si>
  <si>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</si>
  <si>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</si>
  <si>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</si>
  <si>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</si>
  <si>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</si>
  <si>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</si>
  <si>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</si>
  <si>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</si>
  <si>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</si>
  <si>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</si>
  <si>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</si>
  <si>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</si>
  <si>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</si>
  <si>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</si>
  <si>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</si>
  <si>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</si>
  <si>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</si>
  <si>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</si>
  <si>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</si>
  <si>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</si>
  <si>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</si>
  <si>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</si>
  <si>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</si>
  <si>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</si>
  <si>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</si>
  <si>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</si>
  <si>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</si>
  <si>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</si>
  <si>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</si>
  <si>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</si>
  <si>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</si>
  <si>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</si>
  <si>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</si>
  <si>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</si>
  <si>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</si>
  <si>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</si>
  <si>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</si>
  <si>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</si>
  <si>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</si>
  <si>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</si>
  <si>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</si>
  <si>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</si>
  <si>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</si>
  <si>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</si>
  <si>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</si>
  <si>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</si>
  <si>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</si>
  <si>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</si>
  <si>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</si>
  <si>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</si>
  <si>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</si>
  <si>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</si>
  <si>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</si>
  <si>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</si>
  <si>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</si>
  <si>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</si>
  <si>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</si>
  <si>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</si>
  <si>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</si>
  <si>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</si>
  <si>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</si>
  <si>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</si>
  <si>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</si>
  <si>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</si>
  <si>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</si>
  <si>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</si>
  <si>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</si>
  <si>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</si>
  <si>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</si>
  <si>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</si>
  <si>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</si>
  <si>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</si>
  <si>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</si>
  <si>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</si>
  <si>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</si>
  <si>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</si>
  <si>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</si>
  <si>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</si>
  <si>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</si>
  <si>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</si>
  <si>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</si>
  <si>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</si>
  <si>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</si>
  <si>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</si>
  <si>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</si>
  <si>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</si>
  <si>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</si>
  <si>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</si>
  <si>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</si>
  <si>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</si>
  <si>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</si>
  <si>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</si>
  <si>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</si>
  <si>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</si>
  <si>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</si>
  <si>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</si>
  <si>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</si>
  <si>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</si>
  <si>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</si>
  <si>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</si>
  <si>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</si>
  <si>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</si>
  <si>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</si>
  <si>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</si>
  <si>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</si>
  <si>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</si>
  <si>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</si>
  <si>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</si>
  <si>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</si>
  <si>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</si>
  <si>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</si>
  <si>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</si>
  <si>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</si>
  <si>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</si>
  <si>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</si>
  <si>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</si>
  <si>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</si>
  <si>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</si>
  <si>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</si>
  <si>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</si>
  <si>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</si>
  <si>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</si>
  <si>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</si>
  <si>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</si>
  <si>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</si>
  <si>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</si>
  <si>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</si>
  <si>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</si>
  <si>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</si>
  <si>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</si>
  <si>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</si>
  <si>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</si>
  <si>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</si>
  <si>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</si>
  <si>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</si>
  <si>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</si>
  <si>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</si>
  <si>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</si>
  <si>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</si>
  <si>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</si>
  <si>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</si>
  <si>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</si>
  <si>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</si>
  <si>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</si>
  <si>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</si>
  <si>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</si>
  <si>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</si>
  <si>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</si>
  <si>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</si>
  <si>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</si>
  <si>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</si>
  <si>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</si>
  <si>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</si>
  <si>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</si>
  <si>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</si>
  <si>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</si>
  <si>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</si>
  <si>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</si>
  <si>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</si>
  <si>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</si>
  <si>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</si>
  <si>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</si>
  <si>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</si>
  <si>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</si>
  <si>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</si>
  <si>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</si>
  <si>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</si>
  <si>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</si>
  <si>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</si>
  <si>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</si>
  <si>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</si>
  <si>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</si>
  <si>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</si>
  <si>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</si>
  <si>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</si>
  <si>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</si>
  <si>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</si>
  <si>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</si>
  <si>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</si>
  <si>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</si>
  <si>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</si>
  <si>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</si>
  <si>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</si>
  <si>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</si>
  <si>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</si>
  <si>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</si>
  <si>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</si>
  <si>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</si>
  <si>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</si>
  <si>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</si>
  <si>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</si>
  <si>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</si>
  <si>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</si>
  <si>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</si>
  <si>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</si>
  <si>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</si>
  <si>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</si>
  <si>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</si>
  <si>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</si>
  <si>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</si>
  <si>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</si>
  <si>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</si>
  <si>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</si>
  <si>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</si>
  <si>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</si>
  <si>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</si>
  <si>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</si>
  <si>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</si>
  <si>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</si>
  <si>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</si>
  <si>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</si>
  <si>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</si>
  <si>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</si>
  <si>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</si>
  <si>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</si>
  <si>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</si>
  <si>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</si>
  <si>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</si>
  <si>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</si>
  <si>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</si>
  <si>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</si>
  <si>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</si>
  <si>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</si>
  <si>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</si>
  <si>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</si>
  <si>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</si>
  <si>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</si>
  <si>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</si>
  <si>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</si>
  <si>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</si>
  <si>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</si>
  <si>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</si>
  <si>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</si>
  <si>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</si>
  <si>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</si>
  <si>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</si>
  <si>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</si>
  <si>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</si>
  <si>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</si>
  <si>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</si>
  <si>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</si>
  <si>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</si>
  <si>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</si>
  <si>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</si>
  <si>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</si>
  <si>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</si>
  <si>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</si>
  <si>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</si>
  <si>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</si>
  <si>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</si>
  <si>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</si>
  <si>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</si>
  <si>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</si>
  <si>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</si>
  <si>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</si>
  <si>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</si>
  <si>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</si>
  <si>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</si>
  <si>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</si>
  <si>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</si>
  <si>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</si>
  <si>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</si>
  <si>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</si>
  <si>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</si>
  <si>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Si le salarié est Non Cadre : NC </t>
  </si>
  <si>
    <t xml:space="preserve">Si le salarié est Non Cadre : 1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</si>
  <si>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</si>
  <si>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</si>
  <si>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</si>
  <si>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</si>
  <si>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</si>
  <si>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</si>
  <si>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</si>
  <si>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</si>
  <si>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</si>
  <si>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</si>
  <si>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</si>
  <si>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</si>
  <si>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</si>
  <si>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</si>
  <si>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</si>
  <si>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</si>
  <si>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</si>
  <si>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</si>
  <si>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</si>
  <si>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</si>
  <si>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</si>
  <si>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</si>
  <si>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</si>
  <si>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</si>
  <si>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</si>
  <si>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</si>
  <si>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</si>
  <si>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</si>
  <si>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</si>
  <si>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</si>
  <si>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</si>
  <si>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</si>
  <si>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</si>
  <si>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</si>
  <si>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</si>
  <si>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</si>
  <si>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</si>
  <si>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</si>
  <si>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</si>
  <si>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</si>
  <si>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</si>
  <si>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</si>
  <si>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</si>
  <si>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</si>
  <si>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</si>
  <si>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</si>
  <si>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</si>
  <si>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</si>
  <si>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</si>
  <si>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</si>
  <si>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</si>
  <si>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</si>
  <si>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</si>
  <si>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</si>
  <si>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</si>
  <si>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</si>
  <si>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</si>
  <si>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</si>
  <si>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</si>
  <si>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</si>
  <si>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</si>
  <si>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</si>
  <si>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</si>
  <si>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</si>
  <si>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</si>
  <si>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</si>
  <si>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</si>
  <si>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</si>
  <si>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 </t>
  </si>
  <si>
    <t xml:space="preserve">Format nombre de la date du 01/05/2025 </t>
  </si>
  <si>
    <t xml:space="preserve">( permet de faire un test sur la date du mois) </t>
  </si>
  <si>
    <t xml:space="preserve">Coefficient maximum </t>
  </si>
  <si>
    <t xml:space="preserve">Coefficient  maximum </t>
  </si>
  <si>
    <t xml:space="preserve">Correction </t>
  </si>
  <si>
    <t>Avantage en nature Logement</t>
  </si>
  <si>
    <t xml:space="preserve">d'architecte. </t>
  </si>
  <si>
    <t xml:space="preserve">Au titre du contrat de travail dont il dispose il bénéficie d'une rémunération mensuelle  de 6 000 euros par mois. </t>
  </si>
  <si>
    <t xml:space="preserve">Etablir les 2 bulletins de paie pour le mois de Janvier  </t>
  </si>
  <si>
    <t xml:space="preserve">Les autres éléments nécessaires à l'établissement des 2 bulletins de paie figurent dans le masque de saisie. </t>
  </si>
  <si>
    <t xml:space="preserve">  Il doit donc cotiser à l'Unédic à la fois sur  sa rémunération en tant que salarié et sur sa rémunération en tant  que gérant </t>
  </si>
  <si>
    <t xml:space="preserve">Il faut établir 2 bulletins de paie </t>
  </si>
  <si>
    <t xml:space="preserve">On commence par établir le bulletin de paie relatif à l'activité salariée du gérant puis ensuite celui relatif à son activité de gérance </t>
  </si>
  <si>
    <t>Notez cependant que pour la détermination du taux neutre applicable ( hypothèse applicable sauf spécification précise différente) les</t>
  </si>
  <si>
    <t xml:space="preserve">taux applicables sont calculés indépendamment  pour chaque rémunération. </t>
  </si>
  <si>
    <t xml:space="preserve">Des notes attachées à certaines cellules vous précisent  ces differents points </t>
  </si>
  <si>
    <t xml:space="preserve">Le gérant minoritaire d'un cabinet d'architecture en SARL dispose outre son indemnité de gérance de 1500 euros d'un contrat de travail pour son activté </t>
  </si>
  <si>
    <t xml:space="preserve">Le gérant minoritaire remplit par hypothèse toutes les conditions  pour bénéficier de l'assurance chômage , après confirmation par France - Travail </t>
  </si>
  <si>
    <t>3. **Fixation** : La fixation de l'indemnité de fonction peut être déterminée librement dans les statuts de la société ou par une décision des organes compétents de la société,
 dans le respect des dispositions légales et statutaires.</t>
  </si>
  <si>
    <t>4. **Périodicité** : L'indemnité de fonction est généralement versée périodiquement, selon les modalités prévues dans les statuts de la société ou par une décision des organes
 compétents de la société.</t>
  </si>
  <si>
    <t>5. **Déclaration et traitement fiscal et social** : L'indemnité de fonction est soumise aux obligations déclaratives et aux cotisations sociales et fiscales applicables
 selon la législation en vigueur.</t>
  </si>
  <si>
    <t>En résumé, l'indemnité de fonction est une rémunération fixe versée aux dirigeants en contrepartie de leurs fonctions de direction au sein de la société, et elle est régie par des règles
 spécifiques déterminées par les statuts de la société et la législation en vigueur.</t>
  </si>
  <si>
    <t>1. **Définition** : L'indemnité de fonction est une rémunération fixe versée périodiquement aux dirigeants en contrepartie de l'exercice de leurs fonctions de direction
 au sein de la société.</t>
  </si>
  <si>
    <t>2. **Caractère obligatoire** : Dans certains cas, notamment pour les gérants de sociétés, l'indemnité de fonction peut être obligatoire et doit être prévue par les statuts 
de la société 
ou par une décision des organes compétents de la société.</t>
  </si>
  <si>
    <t xml:space="preserve">La rémunération des dirigeants obéit à plusieurs règles principales, </t>
  </si>
  <si>
    <t>Ces règles visent à assurer une transparence et une équité dans la rémunération des dirigeants et à garantir le respect des intérêts de la société et de ses actionnaires.</t>
  </si>
  <si>
    <t>1. **Principe de liberté contractuelle** : Les modalités de rémunération des dirigeants peuvent être fixées librement dans les statuts de la société ou par une décision
 des organes compétents de la société.</t>
  </si>
  <si>
    <t>2. **Respect des dispositions statutaires** : Les dirigeants doivent se conformer aux règles prévues dans les statuts de la société en ce qui concerne leur rémunération, 
sauf dispositions contraires de la loi.</t>
  </si>
  <si>
    <t>5. **Publication des rémunérations** : Les rémunérations des dirigeants doivent souvent être publiées dans les documents légaux de la société, tels que le rapport
 de gestion ou les comptes annuels.</t>
  </si>
  <si>
    <t>6. **Limitation des rémunérations** : Dans certaines circonstances, les rémunérations des dirigeants peuvent être limitées par des dispositions légales ou réglementaires, 
notamment en cas de difficultés financières de la société.</t>
  </si>
  <si>
    <t>4. **Règles de fixation et de modification de la rémunération** : La fixation ou la modification de la rémunération des dirigeants peut être soumise à des règles
 spécifiques prévues dans les statuts de la société ou par les organes compétents de la société.</t>
  </si>
  <si>
    <t>3. **Principe de l'indemnité de fonction** : La rémunération des dirigeants est souvent composée d'une indemnité de fonction, qui est une rémunération 
fixe versée périodiquement  pour l'exercice de leurs fonctions de direction.</t>
  </si>
  <si>
    <t xml:space="preserve">Ange </t>
  </si>
  <si>
    <t xml:space="preserve">15  Avenue du Val Fleuri 92700 Colombes </t>
  </si>
  <si>
    <t xml:space="preserve">Architecte </t>
  </si>
  <si>
    <t>1.91.02.297.820. 957</t>
  </si>
  <si>
    <t xml:space="preserve">ATGR </t>
  </si>
  <si>
    <t xml:space="preserve">3 Rue Paul Vaillant Couturier 92300 Levallois-Perret </t>
  </si>
  <si>
    <t xml:space="preserve">7111C </t>
  </si>
  <si>
    <t xml:space="preserve">CCN  des Cabinets d'Architecture IDCC 2332 </t>
  </si>
  <si>
    <t xml:space="preserve">Forfait 218 jours </t>
  </si>
  <si>
    <t xml:space="preserve">Position </t>
  </si>
  <si>
    <t xml:space="preserve">N° de S.S. </t>
  </si>
  <si>
    <t xml:space="preserve">Forfait gérance </t>
  </si>
  <si>
    <t xml:space="preserve">Prime d'ancienneté </t>
  </si>
  <si>
    <t xml:space="preserve">Primes entrant dans la base de calcul des heures supplémentaires et des heures complémentaires </t>
  </si>
  <si>
    <t>Absence du 16/01 au 22/01</t>
  </si>
  <si>
    <r>
      <t xml:space="preserve">Sur le principe pour </t>
    </r>
    <r>
      <rPr>
        <b/>
        <sz val="12"/>
        <color theme="1"/>
        <rFont val="Times New Roman"/>
        <family val="1"/>
      </rPr>
      <t>déterminer les tranches de cotisations applicables et les limites de 2,25 SMIC et 3,3 SMIC les 2 rémunérations se cumulent.</t>
    </r>
  </si>
  <si>
    <t xml:space="preserve">Indemnité de Gérance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</si>
</sst>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7" formatCode="_-* #,##0.00_-;\-* #,##0.00_-;_-* &quot;-&quot;??_-;_-@_-"/>
  </numFmts>
  <fonts count="103"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sz val="11"/>
      <name val="Times New Roman"/>
      <family val="1"/>
    </font>
  </fonts>
  <fills count="13">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9">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187" fontId="18" fillId="0" borderId="0" applyFont="0" applyFill="0" applyBorder="0" applyAlignment="0" applyProtection="0"/>
    <xf numFmtId="187" fontId="18" fillId="0" borderId="0" applyFont="0" applyFill="0" applyBorder="0" applyAlignment="0" applyProtection="0"/>
  </cellStyleXfs>
  <cellXfs count="1188">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8" borderId="1" xfId="4" applyFont="1" applyFill="1" applyBorder="1" applyAlignment="1">
      <alignment horizontal="center" vertical="center" wrapText="1"/>
    </xf>
    <xf numFmtId="0" fontId="47" fillId="8" borderId="11" xfId="4" applyFont="1" applyFill="1" applyBorder="1" applyAlignment="1">
      <alignment horizontal="center" vertical="center" wrapText="1"/>
    </xf>
    <xf numFmtId="0" fontId="47" fillId="8"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2" fontId="34" fillId="0" borderId="0" xfId="0" applyNumberFormat="1" applyFont="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0" fillId="0" borderId="1" xfId="0" applyBorder="1" applyAlignment="1">
      <alignment horizontal="center"/>
    </xf>
    <xf numFmtId="0" fontId="33" fillId="0" borderId="1" xfId="0" applyFont="1"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5" fillId="2" borderId="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93" fillId="10" borderId="0" xfId="0" applyFont="1" applyFill="1" applyAlignment="1" applyProtection="1">
      <alignment horizontal="center" vertical="center" wrapText="1"/>
      <protection locked="0"/>
    </xf>
    <xf numFmtId="0" fontId="98" fillId="11" borderId="7" xfId="0" applyFont="1" applyFill="1" applyBorder="1" applyAlignment="1" applyProtection="1">
      <alignment horizontal="center" vertical="center" wrapText="1"/>
      <protection locked="0"/>
    </xf>
    <xf numFmtId="0" fontId="98" fillId="11" borderId="11" xfId="0" applyFont="1" applyFill="1" applyBorder="1" applyAlignment="1">
      <alignment horizontal="center"/>
    </xf>
    <xf numFmtId="0" fontId="98" fillId="11" borderId="0" xfId="0" applyFont="1" applyFill="1" applyAlignment="1">
      <alignment horizontal="center"/>
    </xf>
    <xf numFmtId="0" fontId="33" fillId="0" borderId="1" xfId="0" applyFont="1" applyBorder="1" applyAlignment="1">
      <alignment horizontal="left"/>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8" fillId="10" borderId="1" xfId="0" applyFont="1" applyFill="1" applyBorder="1" applyAlignment="1">
      <alignment horizontal="center" vertical="center" wrapText="1"/>
    </xf>
    <xf numFmtId="0" fontId="98" fillId="10" borderId="10" xfId="0" applyFont="1" applyFill="1" applyBorder="1" applyAlignment="1">
      <alignment horizontal="center" vertical="center" wrapText="1"/>
    </xf>
    <xf numFmtId="43" fontId="33" fillId="0" borderId="14" xfId="0" applyNumberFormat="1" applyFont="1" applyBorder="1" applyAlignment="1">
      <alignment horizontal="center" vertical="center" wrapText="1"/>
    </xf>
    <xf numFmtId="0" fontId="40" fillId="0" borderId="7" xfId="0" applyFont="1" applyBorder="1" applyAlignment="1">
      <alignment horizontal="center" vertical="center"/>
    </xf>
    <xf numFmtId="0" fontId="34" fillId="0" borderId="1" xfId="0" applyFont="1" applyBorder="1" applyAlignment="1">
      <alignment horizontal="center"/>
    </xf>
    <xf numFmtId="0" fontId="34" fillId="0" borderId="0" xfId="0" applyFont="1" applyAlignment="1">
      <alignment horizontal="center"/>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0" fontId="99" fillId="9"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8" borderId="1" xfId="0" applyFont="1" applyFill="1" applyBorder="1" applyAlignment="1">
      <alignment horizontal="center" vertical="center" wrapText="1"/>
    </xf>
    <xf numFmtId="0" fontId="101" fillId="10"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0" borderId="0" xfId="1" applyFont="1" applyBorder="1" applyAlignment="1">
      <alignmen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43" fontId="33" fillId="0" borderId="1" xfId="1" applyFont="1" applyBorder="1" applyAlignment="1">
      <alignment vertical="center" wrapText="1"/>
    </xf>
    <xf numFmtId="43" fontId="33" fillId="0" borderId="1" xfId="1" applyFont="1" applyFill="1" applyBorder="1" applyAlignment="1">
      <alignment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0" fontId="34" fillId="0" borderId="0" xfId="0" applyFont="1" applyAlignment="1">
      <alignment horizontal="left" vertical="center" wrapText="1"/>
    </xf>
    <xf numFmtId="0" fontId="0" fillId="0" borderId="0" xfId="0" applyFont="1"/>
    <xf numFmtId="0" fontId="29" fillId="0" borderId="0" xfId="0" applyFont="1"/>
    <xf numFmtId="0" fontId="34" fillId="0" borderId="0" xfId="0" applyFont="1"/>
    <xf numFmtId="0" fontId="40" fillId="0" borderId="0" xfId="0" applyFont="1"/>
    <xf numFmtId="0" fontId="33" fillId="0" borderId="0" xfId="0" applyFont="1" applyAlignment="1">
      <alignment horizontal="left" vertical="center" wrapText="1"/>
    </xf>
    <xf numFmtId="0" fontId="33" fillId="0" borderId="0" xfId="0" applyFont="1" applyAlignment="1">
      <alignment horizontal="left" vertical="center" wrapText="1"/>
    </xf>
    <xf numFmtId="0" fontId="29" fillId="0" borderId="0" xfId="0" applyFont="1"/>
    <xf numFmtId="10" fontId="28" fillId="0" borderId="1" xfId="0" applyNumberFormat="1" applyFont="1" applyFill="1" applyBorder="1" applyAlignment="1">
      <alignment horizontal="center" vertical="center"/>
    </xf>
    <xf numFmtId="167" fontId="28" fillId="2" borderId="1" xfId="0" applyNumberFormat="1" applyFont="1" applyFill="1" applyBorder="1" applyAlignment="1">
      <alignment horizontal="center" vertical="center"/>
    </xf>
    <xf numFmtId="0" fontId="28" fillId="0" borderId="1" xfId="0" applyFont="1" applyFill="1" applyBorder="1" applyAlignment="1">
      <alignment horizontal="center" vertical="center"/>
    </xf>
    <xf numFmtId="0" fontId="28" fillId="0" borderId="11" xfId="0" applyFont="1" applyBorder="1" applyAlignment="1">
      <alignment horizontal="left" vertical="center" wrapText="1"/>
    </xf>
    <xf numFmtId="9" fontId="28" fillId="0" borderId="1" xfId="0" applyNumberFormat="1" applyFont="1" applyFill="1" applyBorder="1" applyAlignment="1">
      <alignment horizontal="center" vertical="center"/>
    </xf>
    <xf numFmtId="0" fontId="28" fillId="0" borderId="0" xfId="0" applyFont="1" applyAlignment="1">
      <alignment horizontal="left" vertical="center" wrapText="1"/>
    </xf>
    <xf numFmtId="0" fontId="0" fillId="0" borderId="0" xfId="0"/>
    <xf numFmtId="0" fontId="34" fillId="0" borderId="0" xfId="0" applyFont="1"/>
    <xf numFmtId="0" fontId="34" fillId="0" borderId="0" xfId="0" applyFont="1" applyAlignment="1">
      <alignment horizontal="left" vertical="center" wrapText="1"/>
    </xf>
    <xf numFmtId="0" fontId="28" fillId="0" borderId="0" xfId="0" applyFont="1"/>
    <xf numFmtId="0" fontId="36" fillId="0" borderId="1" xfId="0" applyFont="1" applyBorder="1" applyAlignment="1">
      <alignment horizontal="center"/>
    </xf>
    <xf numFmtId="0" fontId="28" fillId="2" borderId="1" xfId="0" applyFont="1" applyFill="1" applyBorder="1" applyAlignment="1">
      <alignment horizontal="center"/>
    </xf>
    <xf numFmtId="0" fontId="28" fillId="2" borderId="1" xfId="0" applyFont="1" applyFill="1" applyBorder="1"/>
    <xf numFmtId="0" fontId="28" fillId="2" borderId="1" xfId="0" applyFont="1" applyFill="1" applyBorder="1" applyAlignment="1">
      <alignment horizontal="center" vertical="center" wrapText="1"/>
    </xf>
    <xf numFmtId="0" fontId="0" fillId="0" borderId="0" xfId="0"/>
    <xf numFmtId="0" fontId="24" fillId="0" borderId="0" xfId="0" applyFont="1"/>
    <xf numFmtId="0" fontId="26" fillId="0" borderId="0" xfId="0" applyFont="1"/>
    <xf numFmtId="0" fontId="29" fillId="0" borderId="0" xfId="0" applyFont="1"/>
    <xf numFmtId="0" fontId="26" fillId="0" borderId="0" xfId="0" applyFont="1" applyAlignment="1">
      <alignment horizontal="right"/>
    </xf>
    <xf numFmtId="165" fontId="26" fillId="0" borderId="0" xfId="0" applyNumberFormat="1" applyFont="1" applyAlignment="1">
      <alignment horizontal="right"/>
    </xf>
    <xf numFmtId="0" fontId="26" fillId="0" borderId="0" xfId="0" applyFont="1" applyAlignment="1">
      <alignment horizontal="center" vertical="center" wrapText="1"/>
    </xf>
    <xf numFmtId="0" fontId="28" fillId="0" borderId="3" xfId="0" applyFont="1" applyBorder="1"/>
    <xf numFmtId="0" fontId="28" fillId="0" borderId="11" xfId="0" applyFont="1" applyBorder="1"/>
    <xf numFmtId="0" fontId="28" fillId="0" borderId="6" xfId="0" applyFont="1" applyBorder="1"/>
    <xf numFmtId="0" fontId="28" fillId="0" borderId="4" xfId="0" applyFont="1" applyBorder="1"/>
    <xf numFmtId="0" fontId="28" fillId="0" borderId="7" xfId="0" applyFont="1" applyBorder="1"/>
    <xf numFmtId="10" fontId="28" fillId="2" borderId="1" xfId="0" applyNumberFormat="1" applyFont="1" applyFill="1" applyBorder="1" applyAlignment="1">
      <alignment horizontal="center" vertical="center"/>
    </xf>
    <xf numFmtId="43" fontId="16" fillId="0" borderId="17" xfId="2" quotePrefix="1" applyNumberFormat="1" applyFont="1" applyBorder="1" applyAlignment="1">
      <alignment horizontal="center"/>
    </xf>
    <xf numFmtId="43" fontId="16" fillId="0" borderId="17" xfId="2" applyNumberFormat="1" applyFont="1" applyBorder="1" applyAlignment="1">
      <alignment horizontal="center"/>
    </xf>
    <xf numFmtId="0" fontId="55" fillId="8" borderId="10" xfId="2" applyFont="1" applyFill="1" applyBorder="1" applyAlignment="1">
      <alignment horizontal="center" vertical="center" wrapText="1"/>
    </xf>
    <xf numFmtId="0" fontId="55" fillId="8" borderId="9" xfId="2" applyFont="1" applyFill="1" applyBorder="1" applyAlignment="1">
      <alignment horizontal="center" vertical="center" wrapText="1"/>
    </xf>
    <xf numFmtId="0" fontId="27" fillId="0" borderId="1" xfId="0" applyFont="1" applyBorder="1" applyAlignment="1">
      <alignment horizontal="center"/>
    </xf>
    <xf numFmtId="4" fontId="27" fillId="0" borderId="1" xfId="0" applyNumberFormat="1" applyFont="1" applyBorder="1" applyAlignment="1">
      <alignment horizontal="center"/>
    </xf>
    <xf numFmtId="4" fontId="27" fillId="0" borderId="1" xfId="0" quotePrefix="1" applyNumberFormat="1" applyFont="1" applyBorder="1" applyAlignment="1">
      <alignment horizontal="center"/>
    </xf>
    <xf numFmtId="0" fontId="55" fillId="8" borderId="15" xfId="2" applyFont="1" applyFill="1" applyBorder="1" applyAlignment="1">
      <alignment horizontal="center" vertical="center" wrapText="1"/>
    </xf>
    <xf numFmtId="0" fontId="0" fillId="0" borderId="0" xfId="0"/>
    <xf numFmtId="0" fontId="24" fillId="0" borderId="0" xfId="0" applyFont="1"/>
    <xf numFmtId="0" fontId="26" fillId="0" borderId="0" xfId="0" applyFont="1"/>
    <xf numFmtId="0" fontId="28" fillId="0" borderId="0" xfId="0" applyFont="1"/>
    <xf numFmtId="0" fontId="29" fillId="0" borderId="0" xfId="0" applyFont="1"/>
    <xf numFmtId="0" fontId="33"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0" fontId="26" fillId="0" borderId="0" xfId="0" applyFont="1" applyAlignment="1">
      <alignment horizontal="center"/>
    </xf>
    <xf numFmtId="0" fontId="37" fillId="0" borderId="0" xfId="0" applyFont="1"/>
    <xf numFmtId="187" fontId="27" fillId="0" borderId="1" xfId="8" quotePrefix="1" applyFont="1" applyBorder="1"/>
    <xf numFmtId="166" fontId="6" fillId="0" borderId="1" xfId="3" applyNumberFormat="1" applyFont="1" applyBorder="1" applyAlignment="1">
      <alignment horizontal="center" vertical="center"/>
    </xf>
    <xf numFmtId="0" fontId="33" fillId="0" borderId="0" xfId="0" applyFont="1"/>
    <xf numFmtId="0" fontId="33" fillId="0" borderId="7" xfId="0" applyFont="1" applyBorder="1" applyAlignment="1">
      <alignment horizontal="center" vertical="center" wrapText="1"/>
    </xf>
    <xf numFmtId="0" fontId="41" fillId="0" borderId="0" xfId="0" applyFont="1"/>
    <xf numFmtId="4" fontId="41" fillId="0" borderId="0" xfId="0" applyNumberFormat="1" applyFont="1" applyAlignment="1">
      <alignment horizontal="center"/>
    </xf>
    <xf numFmtId="0" fontId="28" fillId="0" borderId="0" xfId="0" applyFont="1" applyAlignment="1">
      <alignment horizontal="center" vertical="center"/>
    </xf>
    <xf numFmtId="0" fontId="34" fillId="0" borderId="0" xfId="0" applyFont="1"/>
    <xf numFmtId="0" fontId="34" fillId="0" borderId="1" xfId="0" applyFont="1" applyBorder="1" applyAlignment="1">
      <alignment horizontal="center"/>
    </xf>
    <xf numFmtId="2" fontId="39" fillId="0" borderId="1" xfId="0" applyNumberFormat="1" applyFont="1" applyBorder="1" applyAlignment="1">
      <alignment horizontal="center" vertic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8"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10" fontId="39" fillId="0" borderId="1" xfId="3" applyNumberFormat="1" applyFont="1" applyBorder="1" applyAlignment="1">
      <alignment horizontal="center" vertical="center"/>
    </xf>
    <xf numFmtId="187" fontId="39" fillId="0" borderId="1" xfId="8" quotePrefix="1" applyFont="1" applyBorder="1" applyAlignment="1">
      <alignment horizontal="center" vertical="center"/>
    </xf>
    <xf numFmtId="0" fontId="27" fillId="0" borderId="1" xfId="0" applyFont="1" applyBorder="1" applyAlignment="1">
      <alignment horizont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1" fillId="0" borderId="0" xfId="0" applyFont="1" applyAlignment="1">
      <alignment horizontal="center"/>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4" fontId="67" fillId="0" borderId="2" xfId="0" applyNumberFormat="1" applyFont="1" applyBorder="1" applyAlignment="1">
      <alignment horizontal="right"/>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4" fontId="27" fillId="0" borderId="1" xfId="0" quotePrefix="1" applyNumberFormat="1" applyFont="1" applyBorder="1" applyAlignment="1">
      <alignment horizontal="center"/>
    </xf>
    <xf numFmtId="4" fontId="27" fillId="0" borderId="0" xfId="0" quotePrefix="1" applyNumberFormat="1" applyFont="1" applyAlignment="1">
      <alignment horizontal="center"/>
    </xf>
    <xf numFmtId="0" fontId="27" fillId="0" borderId="0" xfId="0" applyFont="1" applyAlignment="1">
      <alignment horizontal="center"/>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187" fontId="16" fillId="0" borderId="1" xfId="2" applyNumberFormat="1" applyFont="1" applyBorder="1" applyAlignment="1">
      <alignment horizontal="center" vertical="center" wrapText="1"/>
    </xf>
    <xf numFmtId="2" fontId="16" fillId="0" borderId="21" xfId="2" quotePrefix="1" applyNumberFormat="1" applyFont="1" applyBorder="1" applyAlignment="1">
      <alignment horizontal="center" vertical="center" wrapText="1"/>
    </xf>
    <xf numFmtId="0" fontId="16" fillId="0" borderId="11" xfId="2" applyFont="1" applyBorder="1" applyAlignment="1">
      <alignment horizontal="left" vertical="center" wrapText="1"/>
    </xf>
    <xf numFmtId="4" fontId="31" fillId="2" borderId="1" xfId="0" applyNumberFormat="1" applyFont="1" applyFill="1" applyBorder="1" applyAlignment="1">
      <alignment horizontal="center" vertical="center"/>
    </xf>
    <xf numFmtId="0" fontId="55" fillId="8" borderId="6" xfId="2" applyFont="1" applyFill="1" applyBorder="1" applyAlignment="1">
      <alignment horizontal="center" vertical="center" wrapText="1"/>
    </xf>
    <xf numFmtId="0" fontId="55" fillId="8" borderId="7" xfId="2" applyFont="1" applyFill="1" applyBorder="1" applyAlignment="1">
      <alignment horizontal="center" vertical="center" wrapText="1"/>
    </xf>
    <xf numFmtId="187" fontId="16" fillId="2" borderId="17" xfId="2" applyNumberFormat="1" applyFont="1" applyFill="1" applyBorder="1" applyAlignment="1">
      <alignment horizontal="center"/>
    </xf>
    <xf numFmtId="0" fontId="16" fillId="2" borderId="9" xfId="2" applyFont="1" applyFill="1" applyBorder="1" applyAlignment="1">
      <alignment horizontal="center"/>
    </xf>
    <xf numFmtId="0" fontId="2" fillId="0" borderId="1" xfId="2" applyFont="1" applyBorder="1" applyAlignment="1">
      <alignment horizontal="center"/>
    </xf>
    <xf numFmtId="0" fontId="60" fillId="0" borderId="6" xfId="2" applyFont="1" applyBorder="1" applyAlignment="1">
      <alignment horizontal="center"/>
    </xf>
    <xf numFmtId="0" fontId="60" fillId="0" borderId="7" xfId="2" applyFont="1" applyBorder="1" applyAlignment="1">
      <alignment horizontal="center"/>
    </xf>
    <xf numFmtId="0" fontId="60" fillId="0" borderId="8" xfId="2" applyFont="1" applyBorder="1" applyAlignment="1">
      <alignment horizontal="center"/>
    </xf>
    <xf numFmtId="0" fontId="60" fillId="0" borderId="11" xfId="2" applyFont="1" applyBorder="1" applyAlignment="1">
      <alignment horizontal="center"/>
    </xf>
    <xf numFmtId="0" fontId="60" fillId="0" borderId="0" xfId="2" applyFont="1" applyAlignment="1">
      <alignment horizontal="center"/>
    </xf>
    <xf numFmtId="0" fontId="60" fillId="0" borderId="12" xfId="2" applyFont="1" applyBorder="1" applyAlignment="1">
      <alignment horizontal="center"/>
    </xf>
    <xf numFmtId="4" fontId="41" fillId="0" borderId="0" xfId="0" applyNumberFormat="1" applyFont="1" applyBorder="1" applyAlignment="1">
      <alignment horizontal="center"/>
    </xf>
    <xf numFmtId="0" fontId="42" fillId="0" borderId="2" xfId="0" applyFont="1" applyBorder="1" applyAlignment="1">
      <alignment horizontal="right"/>
    </xf>
    <xf numFmtId="0" fontId="65" fillId="5" borderId="9" xfId="0" applyFont="1" applyFill="1" applyBorder="1" applyAlignment="1">
      <alignment horizontal="center" vertical="center" wrapText="1"/>
    </xf>
    <xf numFmtId="0" fontId="65" fillId="5" borderId="15" xfId="0" applyFont="1" applyFill="1" applyBorder="1" applyAlignment="1">
      <alignment horizontal="center" vertical="center" wrapText="1"/>
    </xf>
    <xf numFmtId="0" fontId="42" fillId="0" borderId="0" xfId="0" applyFont="1" applyBorder="1" applyAlignment="1">
      <alignment horizontal="right"/>
    </xf>
    <xf numFmtId="0" fontId="41" fillId="0" borderId="0" xfId="0" applyFont="1" applyBorder="1" applyAlignment="1">
      <alignment horizontal="center"/>
    </xf>
    <xf numFmtId="0" fontId="0" fillId="0" borderId="0" xfId="0"/>
    <xf numFmtId="0" fontId="33" fillId="0" borderId="1" xfId="0" applyFont="1" applyBorder="1" applyAlignment="1">
      <alignment horizontal="center" vertical="center" wrapText="1"/>
    </xf>
    <xf numFmtId="187" fontId="27" fillId="0" borderId="1" xfId="8" quotePrefix="1" applyFont="1" applyBorder="1"/>
    <xf numFmtId="4" fontId="22" fillId="2" borderId="1" xfId="0" applyNumberFormat="1" applyFont="1" applyFill="1" applyBorder="1" applyAlignment="1">
      <alignment horizontal="center" vertical="center"/>
    </xf>
    <xf numFmtId="0" fontId="41" fillId="0" borderId="1" xfId="0" applyFont="1" applyBorder="1" applyAlignment="1">
      <alignment horizontal="center" vertical="center" wrapText="1"/>
    </xf>
    <xf numFmtId="0" fontId="42" fillId="0" borderId="1" xfId="0" applyFont="1" applyBorder="1" applyAlignment="1">
      <alignment horizontal="center" vertical="center" wrapText="1"/>
    </xf>
    <xf numFmtId="4" fontId="31" fillId="0" borderId="1" xfId="0" applyNumberFormat="1" applyFont="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42" fillId="0" borderId="1" xfId="0" applyFont="1" applyBorder="1" applyAlignment="1">
      <alignment horizontal="right"/>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4" fontId="22" fillId="2" borderId="1" xfId="0" quotePrefix="1" applyNumberFormat="1" applyFont="1" applyFill="1" applyBorder="1" applyAlignment="1">
      <alignment horizontal="center" vertical="center"/>
    </xf>
    <xf numFmtId="4" fontId="41" fillId="0" borderId="2" xfId="0" applyNumberFormat="1" applyFont="1" applyBorder="1" applyAlignment="1">
      <alignment horizontal="center"/>
    </xf>
    <xf numFmtId="0" fontId="42" fillId="0" borderId="7" xfId="0" applyFont="1" applyBorder="1" applyAlignment="1">
      <alignment horizontal="right"/>
    </xf>
    <xf numFmtId="4" fontId="41" fillId="0" borderId="7" xfId="0" applyNumberFormat="1" applyFont="1" applyBorder="1" applyAlignment="1">
      <alignment horizontal="center"/>
    </xf>
    <xf numFmtId="4" fontId="24" fillId="2" borderId="3" xfId="0" applyNumberFormat="1" applyFont="1" applyFill="1" applyBorder="1" applyAlignment="1">
      <alignment horizontal="center" vertical="center" wrapText="1"/>
    </xf>
    <xf numFmtId="0" fontId="24" fillId="2" borderId="5" xfId="0" applyFont="1" applyFill="1" applyBorder="1" applyAlignment="1">
      <alignment horizontal="center" vertical="center" wrapText="1"/>
    </xf>
    <xf numFmtId="14" fontId="102" fillId="0" borderId="6" xfId="0" applyNumberFormat="1" applyFont="1" applyBorder="1" applyAlignment="1">
      <alignment horizontal="center" vertical="center" wrapText="1"/>
    </xf>
    <xf numFmtId="14" fontId="102" fillId="0" borderId="7" xfId="0" applyNumberFormat="1" applyFont="1" applyBorder="1" applyAlignment="1">
      <alignment horizontal="center" vertical="center" wrapText="1"/>
    </xf>
    <xf numFmtId="14" fontId="102" fillId="0" borderId="8" xfId="0" applyNumberFormat="1" applyFont="1" applyBorder="1" applyAlignment="1">
      <alignment horizontal="center" vertical="center" wrapText="1"/>
    </xf>
    <xf numFmtId="187" fontId="27" fillId="2" borderId="1" xfId="8" quotePrefix="1" applyFont="1" applyFill="1" applyBorder="1"/>
  </cellXfs>
  <cellStyles count="9">
    <cellStyle name="Milliers" xfId="1" builtinId="3"/>
    <cellStyle name="Milliers 2" xfId="6" xr:uid="{39D6C36E-B7D3-49EE-82D3-CE457F1E8C27}"/>
    <cellStyle name="Milliers 2 2" xfId="8" xr:uid="{5EE3AB90-85CD-4A04-A8EC-457A390F5620}"/>
    <cellStyle name="Milliers 3" xfId="5" xr:uid="{AC922D65-8DCC-42B7-B8D9-F2994E00E076}"/>
    <cellStyle name="Milliers 4" xfId="7" xr:uid="{83312B9B-EC2F-46BA-A66A-8E640D1B74F4}"/>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5.xml"/><Relationship Id="rId1" Type="http://schemas.openxmlformats.org/officeDocument/2006/relationships/printerSettings" Target="../printerSettings/printerSettings16.bin"/><Relationship Id="rId4" Type="http://schemas.openxmlformats.org/officeDocument/2006/relationships/comments" Target="../comments11.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38" t="s">
        <v>539</v>
      </c>
      <c r="K1" s="638"/>
      <c r="L1" s="638"/>
      <c r="M1" s="638"/>
      <c r="N1" s="638"/>
      <c r="O1" s="638"/>
      <c r="P1" s="638"/>
    </row>
    <row r="3" spans="2:16" x14ac:dyDescent="0.3">
      <c r="J3" s="58" t="s">
        <v>540</v>
      </c>
      <c r="M3" s="58"/>
      <c r="N3" s="58"/>
      <c r="O3" s="58"/>
    </row>
    <row r="4" spans="2:16" x14ac:dyDescent="0.3">
      <c r="L4" s="58" t="s">
        <v>541</v>
      </c>
      <c r="M4" s="58"/>
      <c r="N4" s="58"/>
      <c r="O4" s="58"/>
    </row>
    <row r="5" spans="2:16" x14ac:dyDescent="0.3">
      <c r="L5" s="58" t="s">
        <v>542</v>
      </c>
      <c r="M5" s="58"/>
      <c r="N5" s="58"/>
      <c r="O5" s="58"/>
    </row>
    <row r="6" spans="2:16" x14ac:dyDescent="0.3">
      <c r="L6" s="58"/>
      <c r="M6" s="58"/>
      <c r="N6" s="58"/>
      <c r="O6" s="58"/>
    </row>
    <row r="7" spans="2:16" ht="18" x14ac:dyDescent="0.3">
      <c r="B7" s="639" t="s">
        <v>543</v>
      </c>
      <c r="C7" s="640"/>
      <c r="D7" s="541"/>
      <c r="E7" s="541"/>
      <c r="I7" s="645" t="s">
        <v>544</v>
      </c>
      <c r="J7" s="646"/>
      <c r="L7" s="58" t="s">
        <v>545</v>
      </c>
      <c r="M7" s="58"/>
      <c r="N7" s="58"/>
      <c r="O7" s="58"/>
    </row>
    <row r="8" spans="2:16" ht="18" x14ac:dyDescent="0.3">
      <c r="B8" s="641"/>
      <c r="C8" s="642"/>
      <c r="D8" s="541"/>
      <c r="E8" s="541"/>
      <c r="I8" s="647"/>
      <c r="J8" s="648"/>
      <c r="L8" s="58"/>
      <c r="M8" s="58"/>
      <c r="N8" s="58"/>
      <c r="O8" s="58"/>
    </row>
    <row r="9" spans="2:16" ht="18" x14ac:dyDescent="0.3">
      <c r="B9" s="641"/>
      <c r="C9" s="642"/>
      <c r="D9" s="541"/>
      <c r="E9" s="541"/>
      <c r="I9" s="647"/>
      <c r="J9" s="648"/>
      <c r="L9" s="58" t="s">
        <v>546</v>
      </c>
      <c r="M9" s="58"/>
      <c r="N9" s="58"/>
      <c r="O9" s="58"/>
    </row>
    <row r="10" spans="2:16" ht="18" x14ac:dyDescent="0.3">
      <c r="B10" s="641"/>
      <c r="C10" s="642"/>
      <c r="D10" s="541"/>
      <c r="E10" s="541"/>
      <c r="I10" s="647"/>
      <c r="J10" s="648"/>
      <c r="L10" s="58"/>
      <c r="M10" s="58"/>
      <c r="N10" s="58"/>
      <c r="O10" s="58"/>
    </row>
    <row r="11" spans="2:16" ht="18" x14ac:dyDescent="0.3">
      <c r="B11" s="641"/>
      <c r="C11" s="642"/>
      <c r="D11" s="541"/>
      <c r="E11" s="541"/>
      <c r="I11" s="647"/>
      <c r="J11" s="648"/>
      <c r="L11" s="527" t="s">
        <v>547</v>
      </c>
      <c r="M11" s="58"/>
      <c r="N11" s="58"/>
      <c r="O11" s="58"/>
    </row>
    <row r="12" spans="2:16" ht="18" x14ac:dyDescent="0.3">
      <c r="B12" s="641"/>
      <c r="C12" s="642"/>
      <c r="D12" s="541"/>
      <c r="E12" s="541"/>
      <c r="I12" s="647"/>
      <c r="J12" s="648"/>
      <c r="L12" s="58"/>
      <c r="M12" s="58"/>
      <c r="N12" s="58"/>
      <c r="O12" s="58"/>
    </row>
    <row r="13" spans="2:16" ht="18" x14ac:dyDescent="0.3">
      <c r="B13" s="641"/>
      <c r="C13" s="642"/>
      <c r="D13" s="541"/>
      <c r="E13" s="541"/>
      <c r="I13" s="647"/>
      <c r="J13" s="648"/>
      <c r="L13" s="58" t="s">
        <v>548</v>
      </c>
      <c r="M13" s="58"/>
      <c r="N13" s="58"/>
      <c r="O13" s="58"/>
    </row>
    <row r="14" spans="2:16" ht="18" x14ac:dyDescent="0.3">
      <c r="B14" s="641"/>
      <c r="C14" s="642"/>
      <c r="D14" s="541"/>
      <c r="E14" s="541"/>
      <c r="I14" s="647"/>
      <c r="J14" s="648"/>
      <c r="L14" s="58"/>
      <c r="M14" s="58"/>
      <c r="N14" s="58"/>
      <c r="O14" s="58"/>
    </row>
    <row r="15" spans="2:16" ht="18" x14ac:dyDescent="0.3">
      <c r="B15" s="643"/>
      <c r="C15" s="644"/>
      <c r="D15" s="541"/>
      <c r="E15" s="541"/>
      <c r="I15" s="649"/>
      <c r="J15" s="650"/>
      <c r="L15" s="58" t="s">
        <v>549</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550</v>
      </c>
      <c r="M19" s="58"/>
      <c r="N19" s="58"/>
      <c r="O19" s="58"/>
    </row>
    <row r="20" spans="1:15" x14ac:dyDescent="0.3">
      <c r="L20" s="58"/>
      <c r="M20" s="58"/>
      <c r="N20" s="58"/>
      <c r="O20" s="58"/>
    </row>
    <row r="21" spans="1:15" x14ac:dyDescent="0.3">
      <c r="L21" s="58" t="s">
        <v>351</v>
      </c>
      <c r="M21" s="58"/>
      <c r="N21" s="58"/>
      <c r="O21" s="58"/>
    </row>
    <row r="22" spans="1:15" x14ac:dyDescent="0.3">
      <c r="L22" s="58"/>
      <c r="M22" s="58"/>
      <c r="N22" s="58"/>
      <c r="O22" s="58"/>
    </row>
    <row r="23" spans="1:15" x14ac:dyDescent="0.3">
      <c r="A23" t="s">
        <v>551</v>
      </c>
      <c r="L23" s="58" t="s">
        <v>552</v>
      </c>
      <c r="M23" s="58"/>
      <c r="N23" s="58"/>
      <c r="O23" s="58"/>
    </row>
    <row r="24" spans="1:15" x14ac:dyDescent="0.3">
      <c r="A24" t="s">
        <v>553</v>
      </c>
    </row>
    <row r="25" spans="1:15" x14ac:dyDescent="0.3">
      <c r="A25" t="s">
        <v>554</v>
      </c>
    </row>
    <row r="26" spans="1:15" x14ac:dyDescent="0.3">
      <c r="A26" t="s">
        <v>555</v>
      </c>
      <c r="E26" s="631" t="s">
        <v>556</v>
      </c>
      <c r="F26" s="631"/>
      <c r="H26" s="631" t="s">
        <v>557</v>
      </c>
      <c r="I26" s="631"/>
      <c r="K26" s="631" t="s">
        <v>558</v>
      </c>
      <c r="L26" s="631"/>
    </row>
    <row r="27" spans="1:15" x14ac:dyDescent="0.3">
      <c r="A27" t="s">
        <v>559</v>
      </c>
    </row>
    <row r="28" spans="1:15" x14ac:dyDescent="0.3">
      <c r="B28" s="631"/>
      <c r="C28" s="631"/>
      <c r="E28" s="632" t="s">
        <v>560</v>
      </c>
      <c r="F28" s="633"/>
      <c r="H28" s="632" t="s">
        <v>561</v>
      </c>
      <c r="I28" s="633"/>
      <c r="K28" s="632" t="s">
        <v>561</v>
      </c>
      <c r="L28" s="633"/>
    </row>
    <row r="29" spans="1:15" x14ac:dyDescent="0.3">
      <c r="B29" s="631"/>
      <c r="C29" s="631"/>
      <c r="E29" s="634"/>
      <c r="F29" s="635"/>
      <c r="H29" s="634"/>
      <c r="I29" s="635"/>
      <c r="K29" s="634"/>
      <c r="L29" s="635"/>
    </row>
    <row r="30" spans="1:15" x14ac:dyDescent="0.3">
      <c r="B30" s="631"/>
      <c r="C30" s="631"/>
      <c r="E30" s="634"/>
      <c r="F30" s="635"/>
      <c r="H30" s="634"/>
      <c r="I30" s="635"/>
      <c r="K30" s="634"/>
      <c r="L30" s="635"/>
    </row>
    <row r="31" spans="1:15" x14ac:dyDescent="0.3">
      <c r="B31" s="631"/>
      <c r="C31" s="631"/>
      <c r="E31" s="634"/>
      <c r="F31" s="635"/>
      <c r="H31" s="634"/>
      <c r="I31" s="635"/>
      <c r="K31" s="634"/>
      <c r="L31" s="635"/>
    </row>
    <row r="32" spans="1:15" x14ac:dyDescent="0.3">
      <c r="B32" s="631"/>
      <c r="C32" s="631"/>
      <c r="E32" s="634"/>
      <c r="F32" s="635"/>
      <c r="H32" s="634"/>
      <c r="I32" s="635"/>
      <c r="K32" s="634"/>
      <c r="L32" s="635"/>
    </row>
    <row r="33" spans="2:12" x14ac:dyDescent="0.3">
      <c r="B33" s="631"/>
      <c r="C33" s="631"/>
      <c r="E33" s="634"/>
      <c r="F33" s="635"/>
      <c r="H33" s="634"/>
      <c r="I33" s="635"/>
      <c r="K33" s="634"/>
      <c r="L33" s="635"/>
    </row>
    <row r="34" spans="2:12" x14ac:dyDescent="0.3">
      <c r="B34" s="631"/>
      <c r="C34" s="631"/>
      <c r="E34" s="634"/>
      <c r="F34" s="635"/>
      <c r="H34" s="634"/>
      <c r="I34" s="635"/>
      <c r="K34" s="634"/>
      <c r="L34" s="635"/>
    </row>
    <row r="35" spans="2:12" x14ac:dyDescent="0.3">
      <c r="B35" s="631"/>
      <c r="C35" s="631"/>
      <c r="E35" s="634"/>
      <c r="F35" s="635"/>
      <c r="H35" s="634"/>
      <c r="I35" s="635"/>
      <c r="K35" s="634"/>
      <c r="L35" s="635"/>
    </row>
    <row r="36" spans="2:12" x14ac:dyDescent="0.3">
      <c r="B36" s="631"/>
      <c r="C36" s="631"/>
      <c r="E36" s="636"/>
      <c r="F36" s="637"/>
      <c r="H36" s="636"/>
      <c r="I36" s="637"/>
      <c r="K36" s="636"/>
      <c r="L36" s="637"/>
    </row>
    <row r="38" spans="2:12" x14ac:dyDescent="0.3">
      <c r="J38" t="s">
        <v>690</v>
      </c>
    </row>
    <row r="39" spans="2:12" ht="15.6" x14ac:dyDescent="0.3">
      <c r="B39" s="187" t="s">
        <v>562</v>
      </c>
      <c r="C39" s="187"/>
      <c r="D39" s="187"/>
      <c r="E39" s="187"/>
      <c r="F39" s="58"/>
      <c r="G39" s="58"/>
      <c r="J39" t="s">
        <v>691</v>
      </c>
    </row>
    <row r="40" spans="2:12" ht="15.6" x14ac:dyDescent="0.3">
      <c r="B40" s="187"/>
      <c r="C40" s="187"/>
      <c r="D40" s="187"/>
      <c r="E40" s="187"/>
      <c r="F40" s="58"/>
      <c r="G40" s="58"/>
      <c r="J40" t="s">
        <v>692</v>
      </c>
    </row>
    <row r="41" spans="2:12" ht="15.6" x14ac:dyDescent="0.3">
      <c r="B41" s="187"/>
      <c r="C41" s="187" t="s">
        <v>563</v>
      </c>
      <c r="D41" s="187"/>
      <c r="E41" s="187"/>
      <c r="F41" s="58"/>
      <c r="G41" s="58"/>
    </row>
    <row r="42" spans="2:12" ht="15.6" x14ac:dyDescent="0.3">
      <c r="B42" s="187"/>
      <c r="C42" s="187"/>
      <c r="D42" s="187"/>
      <c r="E42" s="187"/>
      <c r="F42" s="58"/>
      <c r="G42" s="58"/>
    </row>
    <row r="43" spans="2:12" ht="15.6" x14ac:dyDescent="0.3">
      <c r="B43" s="187"/>
      <c r="C43" s="187"/>
      <c r="D43" s="187" t="s">
        <v>564</v>
      </c>
      <c r="E43" s="187"/>
      <c r="F43" s="58"/>
      <c r="G43" s="58"/>
    </row>
    <row r="44" spans="2:12" ht="15.6" x14ac:dyDescent="0.3">
      <c r="B44" s="187"/>
      <c r="C44" s="187"/>
      <c r="D44" s="187" t="s">
        <v>565</v>
      </c>
      <c r="E44" s="187"/>
      <c r="F44" s="58"/>
      <c r="G44" s="58"/>
    </row>
    <row r="45" spans="2:12" ht="15.6" x14ac:dyDescent="0.3">
      <c r="B45" s="187"/>
      <c r="C45" s="27"/>
      <c r="D45" s="187"/>
      <c r="E45" s="187"/>
      <c r="F45" s="58"/>
      <c r="G45" s="58"/>
    </row>
    <row r="46" spans="2:12" ht="15.6" x14ac:dyDescent="0.3">
      <c r="B46" s="27"/>
      <c r="C46" s="27"/>
      <c r="D46" s="27"/>
      <c r="E46" s="187" t="s">
        <v>566</v>
      </c>
    </row>
    <row r="48" spans="2:12" ht="15.6" x14ac:dyDescent="0.3">
      <c r="C48" s="187" t="s">
        <v>567</v>
      </c>
      <c r="D48" s="187"/>
      <c r="E48" s="27"/>
    </row>
    <row r="49" spans="3:9" ht="15.6" x14ac:dyDescent="0.3">
      <c r="C49" s="187"/>
      <c r="D49" s="187" t="s">
        <v>568</v>
      </c>
      <c r="E49" s="27"/>
    </row>
    <row r="50" spans="3:9" ht="15.6" x14ac:dyDescent="0.3">
      <c r="C50" s="187"/>
      <c r="D50" s="187" t="s">
        <v>569</v>
      </c>
      <c r="E50" s="27"/>
    </row>
    <row r="51" spans="3:9" ht="15.6" x14ac:dyDescent="0.3">
      <c r="C51" s="187"/>
      <c r="D51" s="187" t="s">
        <v>570</v>
      </c>
      <c r="E51" s="27"/>
    </row>
    <row r="52" spans="3:9" ht="15.6" x14ac:dyDescent="0.3">
      <c r="C52" s="27"/>
      <c r="D52" s="187" t="s">
        <v>571</v>
      </c>
      <c r="E52" s="27"/>
    </row>
    <row r="53" spans="3:9" ht="15.6" x14ac:dyDescent="0.3">
      <c r="C53" s="27"/>
      <c r="D53" s="187" t="s">
        <v>572</v>
      </c>
      <c r="E53" s="27"/>
    </row>
    <row r="54" spans="3:9" ht="15.6" x14ac:dyDescent="0.3">
      <c r="C54" s="27"/>
      <c r="D54" s="187" t="s">
        <v>573</v>
      </c>
      <c r="E54" s="27"/>
    </row>
    <row r="55" spans="3:9" ht="15.6" x14ac:dyDescent="0.3">
      <c r="C55" s="27"/>
      <c r="D55" s="187" t="s">
        <v>574</v>
      </c>
      <c r="E55" s="27"/>
    </row>
    <row r="56" spans="3:9" ht="15.6" x14ac:dyDescent="0.3">
      <c r="D56" s="187" t="s">
        <v>575</v>
      </c>
    </row>
    <row r="57" spans="3:9" ht="15.6" x14ac:dyDescent="0.3">
      <c r="D57" s="187" t="s">
        <v>576</v>
      </c>
    </row>
    <row r="59" spans="3:9" x14ac:dyDescent="0.3">
      <c r="E59" s="58" t="s">
        <v>577</v>
      </c>
      <c r="F59" s="58"/>
      <c r="G59" s="58"/>
      <c r="H59" s="58"/>
      <c r="I59" s="58"/>
    </row>
    <row r="60" spans="3:9" x14ac:dyDescent="0.3">
      <c r="E60" s="58"/>
      <c r="F60" s="58" t="s">
        <v>578</v>
      </c>
      <c r="G60" s="58"/>
      <c r="H60" s="58"/>
      <c r="I60" s="58"/>
    </row>
    <row r="61" spans="3:9" x14ac:dyDescent="0.3">
      <c r="E61" s="58"/>
      <c r="F61" s="58" t="s">
        <v>579</v>
      </c>
      <c r="G61" s="58"/>
      <c r="H61" s="58"/>
      <c r="I61" s="58"/>
    </row>
    <row r="62" spans="3:9" x14ac:dyDescent="0.3">
      <c r="E62" s="58"/>
      <c r="F62" s="58"/>
      <c r="G62" s="58" t="s">
        <v>580</v>
      </c>
      <c r="H62" s="58"/>
      <c r="I62" s="58"/>
    </row>
    <row r="63" spans="3:9" x14ac:dyDescent="0.3">
      <c r="E63" s="58"/>
      <c r="F63" s="58"/>
      <c r="G63" s="58" t="s">
        <v>581</v>
      </c>
      <c r="H63" s="58"/>
      <c r="I63" s="58"/>
    </row>
    <row r="64" spans="3:9" x14ac:dyDescent="0.3">
      <c r="E64" s="58"/>
      <c r="F64" s="58"/>
      <c r="G64" s="58" t="s">
        <v>582</v>
      </c>
      <c r="H64" s="58"/>
      <c r="I64" s="58"/>
    </row>
    <row r="65" spans="2:10" x14ac:dyDescent="0.3">
      <c r="E65" s="58"/>
      <c r="F65" s="58"/>
      <c r="G65" s="58" t="s">
        <v>583</v>
      </c>
      <c r="H65" s="58"/>
      <c r="I65" s="58"/>
    </row>
    <row r="66" spans="2:10" x14ac:dyDescent="0.3">
      <c r="E66" s="58"/>
      <c r="F66" s="58"/>
      <c r="G66" s="58" t="s">
        <v>584</v>
      </c>
      <c r="H66" s="58"/>
      <c r="I66" s="58"/>
    </row>
    <row r="67" spans="2:10" x14ac:dyDescent="0.3">
      <c r="E67" s="58"/>
      <c r="F67" s="58"/>
      <c r="G67" s="58" t="s">
        <v>585</v>
      </c>
      <c r="H67" s="58"/>
      <c r="I67" s="58"/>
    </row>
    <row r="68" spans="2:10" x14ac:dyDescent="0.3">
      <c r="E68" s="58"/>
      <c r="F68" s="58"/>
      <c r="G68" s="58" t="s">
        <v>693</v>
      </c>
      <c r="H68" s="58"/>
      <c r="I68" s="58"/>
      <c r="J68" s="58"/>
    </row>
    <row r="69" spans="2:10" x14ac:dyDescent="0.3">
      <c r="E69" s="58"/>
      <c r="F69" s="58"/>
      <c r="G69" s="58" t="s">
        <v>770</v>
      </c>
      <c r="H69" s="58"/>
      <c r="I69" s="58"/>
      <c r="J69" s="58"/>
    </row>
    <row r="70" spans="2:10" x14ac:dyDescent="0.3">
      <c r="E70" s="58"/>
      <c r="F70" s="58"/>
      <c r="G70" s="58" t="s">
        <v>586</v>
      </c>
      <c r="H70" s="58"/>
      <c r="I70" s="58"/>
      <c r="J70" s="58"/>
    </row>
    <row r="71" spans="2:10" x14ac:dyDescent="0.3">
      <c r="G71" s="58" t="s">
        <v>587</v>
      </c>
      <c r="H71" s="58"/>
      <c r="I71" s="58"/>
      <c r="J71" s="58"/>
    </row>
    <row r="72" spans="2:10" x14ac:dyDescent="0.3">
      <c r="G72" s="58"/>
      <c r="H72" s="58" t="s">
        <v>588</v>
      </c>
      <c r="I72" s="58"/>
      <c r="J72" s="58"/>
    </row>
    <row r="73" spans="2:10" x14ac:dyDescent="0.3">
      <c r="G73" s="58"/>
      <c r="H73" s="527" t="s">
        <v>589</v>
      </c>
      <c r="I73" s="58"/>
      <c r="J73" s="58"/>
    </row>
    <row r="74" spans="2:10" x14ac:dyDescent="0.3">
      <c r="G74" s="58"/>
      <c r="H74" s="58" t="s">
        <v>590</v>
      </c>
      <c r="I74" s="58"/>
      <c r="J74" s="58"/>
    </row>
    <row r="75" spans="2:10" x14ac:dyDescent="0.3">
      <c r="G75" s="58"/>
      <c r="H75" s="58"/>
      <c r="I75" s="527" t="s">
        <v>591</v>
      </c>
      <c r="J75" s="58"/>
    </row>
    <row r="76" spans="2:10" x14ac:dyDescent="0.3">
      <c r="G76" s="58"/>
      <c r="H76" s="58"/>
      <c r="I76" s="58" t="s">
        <v>592</v>
      </c>
      <c r="J76" s="58"/>
    </row>
    <row r="77" spans="2:10" x14ac:dyDescent="0.3">
      <c r="G77" s="58"/>
      <c r="H77" s="58"/>
      <c r="I77" s="58" t="s">
        <v>593</v>
      </c>
      <c r="J77" s="58"/>
    </row>
    <row r="78" spans="2:10" x14ac:dyDescent="0.3">
      <c r="G78" s="58"/>
      <c r="H78" s="58"/>
      <c r="I78" s="58"/>
      <c r="J78" s="58"/>
    </row>
    <row r="79" spans="2:10" x14ac:dyDescent="0.3">
      <c r="B79" s="58" t="s">
        <v>594</v>
      </c>
      <c r="G79" s="58"/>
      <c r="H79" s="58"/>
      <c r="I79" s="58"/>
      <c r="J79" s="58"/>
    </row>
    <row r="80" spans="2:10" x14ac:dyDescent="0.3">
      <c r="G80" s="58"/>
      <c r="H80" s="58"/>
      <c r="I80" s="58"/>
      <c r="J80" s="58"/>
    </row>
    <row r="81" spans="2:10" x14ac:dyDescent="0.3">
      <c r="B81" s="527" t="s">
        <v>595</v>
      </c>
      <c r="C81" s="58"/>
      <c r="D81" s="58"/>
      <c r="E81" s="58"/>
      <c r="F81" s="58"/>
      <c r="G81" s="58"/>
      <c r="H81" s="58"/>
      <c r="I81" s="58"/>
      <c r="J81" s="58"/>
    </row>
    <row r="82" spans="2:10" x14ac:dyDescent="0.3">
      <c r="B82" s="58" t="s">
        <v>596</v>
      </c>
      <c r="C82" s="58"/>
      <c r="D82" s="58"/>
      <c r="E82" s="58"/>
      <c r="F82" s="58"/>
      <c r="G82" s="58"/>
      <c r="H82" s="58"/>
      <c r="I82" s="58"/>
      <c r="J82" s="58"/>
    </row>
    <row r="83" spans="2:10" x14ac:dyDescent="0.3">
      <c r="B83" s="58"/>
      <c r="D83" s="58"/>
      <c r="E83" s="58"/>
      <c r="F83" s="58"/>
      <c r="G83" s="58"/>
      <c r="H83" s="58"/>
      <c r="I83" s="58"/>
      <c r="J83" s="58"/>
    </row>
    <row r="84" spans="2:10" x14ac:dyDescent="0.3">
      <c r="C84" s="58" t="s">
        <v>597</v>
      </c>
    </row>
    <row r="85" spans="2:10" x14ac:dyDescent="0.3">
      <c r="C85" s="58" t="s">
        <v>598</v>
      </c>
    </row>
    <row r="86" spans="2:10" x14ac:dyDescent="0.3">
      <c r="C86" s="58"/>
    </row>
    <row r="87" spans="2:10" x14ac:dyDescent="0.3">
      <c r="C87" s="58" t="s">
        <v>599</v>
      </c>
    </row>
    <row r="88" spans="2:10" x14ac:dyDescent="0.3">
      <c r="C88" s="58" t="s">
        <v>600</v>
      </c>
    </row>
    <row r="89" spans="2:10" x14ac:dyDescent="0.3">
      <c r="C89" s="58" t="s">
        <v>601</v>
      </c>
    </row>
    <row r="90" spans="2:10" x14ac:dyDescent="0.3">
      <c r="C90" s="58" t="s">
        <v>602</v>
      </c>
    </row>
    <row r="91" spans="2:10" x14ac:dyDescent="0.3">
      <c r="C91" s="58"/>
    </row>
    <row r="92" spans="2:10" x14ac:dyDescent="0.3">
      <c r="B92" s="58" t="s">
        <v>603</v>
      </c>
      <c r="D92" s="58"/>
      <c r="E92" s="58"/>
    </row>
    <row r="93" spans="2:10" x14ac:dyDescent="0.3">
      <c r="B93" s="58"/>
      <c r="D93" s="58"/>
      <c r="E93" s="58"/>
    </row>
    <row r="94" spans="2:10" x14ac:dyDescent="0.3">
      <c r="C94" s="58"/>
      <c r="D94" s="58" t="s">
        <v>604</v>
      </c>
      <c r="E94" s="58"/>
    </row>
    <row r="95" spans="2:10" x14ac:dyDescent="0.3">
      <c r="C95" s="58"/>
      <c r="D95" s="58"/>
      <c r="E95" s="58" t="s">
        <v>605</v>
      </c>
    </row>
    <row r="96" spans="2:10" x14ac:dyDescent="0.3">
      <c r="E96" s="58" t="s">
        <v>606</v>
      </c>
    </row>
    <row r="97" spans="2:11" x14ac:dyDescent="0.3">
      <c r="D97" s="58" t="s">
        <v>607</v>
      </c>
    </row>
    <row r="98" spans="2:11" x14ac:dyDescent="0.3">
      <c r="D98" s="58" t="s">
        <v>608</v>
      </c>
    </row>
    <row r="99" spans="2:11" x14ac:dyDescent="0.3">
      <c r="D99" s="58" t="s">
        <v>609</v>
      </c>
    </row>
    <row r="101" spans="2:11" x14ac:dyDescent="0.3">
      <c r="B101" s="58" t="s">
        <v>610</v>
      </c>
    </row>
    <row r="103" spans="2:11" x14ac:dyDescent="0.3">
      <c r="B103" s="58" t="s">
        <v>611</v>
      </c>
    </row>
    <row r="106" spans="2:11" x14ac:dyDescent="0.3">
      <c r="C106" s="58" t="s">
        <v>612</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613</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527" t="s">
        <v>614</v>
      </c>
      <c r="F110" s="58"/>
      <c r="G110" s="58"/>
      <c r="H110" s="58"/>
      <c r="I110" s="58"/>
      <c r="J110" s="58"/>
      <c r="K110" s="58"/>
    </row>
    <row r="111" spans="2:11" x14ac:dyDescent="0.3">
      <c r="C111" s="58"/>
      <c r="D111" s="58"/>
      <c r="E111" s="58" t="s">
        <v>762</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615</v>
      </c>
      <c r="G113" s="58"/>
      <c r="H113" s="58"/>
      <c r="I113" s="58"/>
      <c r="J113" s="58"/>
      <c r="K113" s="58"/>
    </row>
    <row r="114" spans="2:13" x14ac:dyDescent="0.3">
      <c r="C114" s="58"/>
      <c r="D114" s="58"/>
      <c r="E114" s="58"/>
      <c r="F114" s="58"/>
      <c r="G114" s="58"/>
      <c r="H114" s="58" t="s">
        <v>616</v>
      </c>
      <c r="I114" s="58"/>
      <c r="J114" s="58"/>
      <c r="K114" s="58"/>
    </row>
    <row r="115" spans="2:13" x14ac:dyDescent="0.3">
      <c r="C115" s="58"/>
      <c r="D115" s="58"/>
      <c r="E115" s="58"/>
      <c r="F115" s="58"/>
      <c r="G115" s="58"/>
      <c r="H115" s="58" t="s">
        <v>61</v>
      </c>
      <c r="I115" s="58"/>
      <c r="J115" s="58"/>
      <c r="K115" s="58"/>
    </row>
    <row r="116" spans="2:13" x14ac:dyDescent="0.3">
      <c r="C116" s="58"/>
      <c r="D116" s="58"/>
      <c r="E116" s="58"/>
      <c r="F116" s="58"/>
      <c r="G116" s="58"/>
      <c r="H116" s="58" t="s">
        <v>617</v>
      </c>
      <c r="I116" s="58"/>
      <c r="J116" s="58"/>
      <c r="K116" s="58"/>
    </row>
    <row r="117" spans="2:13" x14ac:dyDescent="0.3">
      <c r="C117" s="58"/>
      <c r="D117" s="58"/>
      <c r="E117" s="58"/>
      <c r="F117" s="58"/>
      <c r="G117" s="58"/>
      <c r="H117" s="58" t="s">
        <v>618</v>
      </c>
      <c r="I117" s="58"/>
      <c r="J117" s="58"/>
      <c r="K117" s="58"/>
    </row>
    <row r="118" spans="2:13" x14ac:dyDescent="0.3">
      <c r="C118" s="58"/>
      <c r="D118" s="58"/>
      <c r="E118" s="58"/>
      <c r="F118" s="58"/>
      <c r="G118" s="58"/>
      <c r="H118" s="58" t="s">
        <v>619</v>
      </c>
      <c r="I118" s="58"/>
      <c r="J118" s="58"/>
      <c r="K118" s="58"/>
    </row>
    <row r="119" spans="2:13" x14ac:dyDescent="0.3">
      <c r="C119" s="58"/>
      <c r="D119" s="58"/>
      <c r="E119" s="58"/>
      <c r="F119" s="58"/>
      <c r="G119" s="58"/>
      <c r="H119" s="58" t="s">
        <v>620</v>
      </c>
      <c r="I119" s="58"/>
      <c r="J119" s="58"/>
      <c r="K119" s="58"/>
    </row>
    <row r="120" spans="2:13" x14ac:dyDescent="0.3">
      <c r="C120" s="58"/>
      <c r="D120" s="58"/>
      <c r="E120" s="58"/>
      <c r="F120" s="58"/>
      <c r="G120" s="58"/>
      <c r="H120" s="58" t="s">
        <v>621</v>
      </c>
      <c r="I120" s="58"/>
      <c r="J120" s="58"/>
      <c r="K120" s="58"/>
    </row>
    <row r="121" spans="2:13" x14ac:dyDescent="0.3">
      <c r="C121" s="58"/>
      <c r="D121" s="58"/>
      <c r="E121" s="58"/>
      <c r="F121" s="58"/>
      <c r="G121" s="58"/>
      <c r="H121" s="58" t="s">
        <v>622</v>
      </c>
      <c r="I121" s="58"/>
      <c r="J121" s="58"/>
      <c r="K121" s="58"/>
    </row>
    <row r="122" spans="2:13" x14ac:dyDescent="0.3">
      <c r="C122" s="58"/>
      <c r="D122" s="58"/>
      <c r="E122" s="58"/>
      <c r="F122" s="58"/>
      <c r="G122" s="58"/>
      <c r="H122" s="58"/>
      <c r="I122" s="58"/>
      <c r="J122" s="58"/>
      <c r="K122" s="58"/>
    </row>
    <row r="123" spans="2:13" x14ac:dyDescent="0.3">
      <c r="B123" s="542"/>
      <c r="C123" s="543"/>
      <c r="D123" s="543"/>
      <c r="E123" s="543"/>
      <c r="F123" s="543"/>
      <c r="G123" s="543"/>
      <c r="H123" s="543"/>
      <c r="I123" s="543"/>
      <c r="J123" s="543"/>
      <c r="K123" s="543"/>
      <c r="L123" s="544"/>
      <c r="M123" s="545"/>
    </row>
    <row r="124" spans="2:13" x14ac:dyDescent="0.3">
      <c r="B124" s="443"/>
      <c r="C124" s="58" t="s">
        <v>623</v>
      </c>
      <c r="D124" s="58"/>
      <c r="E124" s="58"/>
      <c r="H124" s="58"/>
      <c r="I124" s="58"/>
      <c r="J124" s="58"/>
      <c r="K124" s="58"/>
      <c r="M124" s="546"/>
    </row>
    <row r="125" spans="2:13" x14ac:dyDescent="0.3">
      <c r="B125" s="443"/>
      <c r="C125" s="58" t="s">
        <v>624</v>
      </c>
      <c r="D125" s="58"/>
      <c r="E125" s="58"/>
      <c r="H125" s="58"/>
      <c r="I125" s="58"/>
      <c r="J125" s="58"/>
      <c r="K125" s="58"/>
      <c r="M125" s="546"/>
    </row>
    <row r="126" spans="2:13" x14ac:dyDescent="0.3">
      <c r="B126" s="443"/>
      <c r="M126" s="546"/>
    </row>
    <row r="127" spans="2:13" x14ac:dyDescent="0.3">
      <c r="B127" s="443"/>
      <c r="D127" s="58" t="s">
        <v>625</v>
      </c>
      <c r="M127" s="546"/>
    </row>
    <row r="128" spans="2:13" x14ac:dyDescent="0.3">
      <c r="B128" s="443"/>
      <c r="D128" s="58" t="s">
        <v>626</v>
      </c>
      <c r="M128" s="546"/>
    </row>
    <row r="129" spans="2:13" x14ac:dyDescent="0.3">
      <c r="B129" s="443"/>
      <c r="D129" s="58" t="s">
        <v>627</v>
      </c>
      <c r="M129" s="546"/>
    </row>
    <row r="130" spans="2:13" x14ac:dyDescent="0.3">
      <c r="B130" s="443"/>
      <c r="D130" s="58" t="s">
        <v>628</v>
      </c>
      <c r="M130" s="546"/>
    </row>
    <row r="131" spans="2:13" x14ac:dyDescent="0.3">
      <c r="B131" s="443"/>
      <c r="D131" s="58"/>
      <c r="M131" s="546"/>
    </row>
    <row r="132" spans="2:13" x14ac:dyDescent="0.3">
      <c r="B132" s="443"/>
      <c r="M132" s="546"/>
    </row>
    <row r="133" spans="2:13" x14ac:dyDescent="0.3">
      <c r="B133" s="443"/>
      <c r="C133" s="58" t="s">
        <v>629</v>
      </c>
      <c r="M133" s="546"/>
    </row>
    <row r="134" spans="2:13" x14ac:dyDescent="0.3">
      <c r="B134" s="443"/>
      <c r="C134" s="58" t="s">
        <v>630</v>
      </c>
      <c r="M134" s="546"/>
    </row>
    <row r="135" spans="2:13" x14ac:dyDescent="0.3">
      <c r="B135" s="443"/>
      <c r="M135" s="546"/>
    </row>
    <row r="136" spans="2:13" x14ac:dyDescent="0.3">
      <c r="B136" s="443"/>
      <c r="C136" s="490" t="s">
        <v>631</v>
      </c>
      <c r="M136" s="546"/>
    </row>
    <row r="137" spans="2:13" x14ac:dyDescent="0.3">
      <c r="B137" s="547"/>
      <c r="C137" s="548"/>
      <c r="D137" s="548"/>
      <c r="E137" s="548"/>
      <c r="F137" s="548"/>
      <c r="G137" s="548"/>
      <c r="H137" s="548"/>
      <c r="I137" s="548"/>
      <c r="J137" s="548"/>
      <c r="K137" s="548"/>
      <c r="L137" s="548"/>
      <c r="M137" s="549"/>
    </row>
    <row r="139" spans="2:13" x14ac:dyDescent="0.3">
      <c r="B139" s="58" t="s">
        <v>833</v>
      </c>
    </row>
    <row r="140" spans="2:13" x14ac:dyDescent="0.3">
      <c r="B140" s="58" t="s">
        <v>632</v>
      </c>
    </row>
    <row r="142" spans="2:13" x14ac:dyDescent="0.3">
      <c r="B142" s="58" t="s">
        <v>633</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90" t="s">
        <v>634</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635</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636</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637</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638</v>
      </c>
    </row>
    <row r="153" spans="2:13" x14ac:dyDescent="0.3">
      <c r="G153" s="58" t="s">
        <v>639</v>
      </c>
    </row>
    <row r="154" spans="2:13" x14ac:dyDescent="0.3">
      <c r="G154" s="58" t="s">
        <v>640</v>
      </c>
    </row>
    <row r="155" spans="2:13" x14ac:dyDescent="0.3">
      <c r="G155" s="58" t="s">
        <v>641</v>
      </c>
    </row>
    <row r="156" spans="2:13" x14ac:dyDescent="0.3">
      <c r="G156" s="58" t="s">
        <v>559</v>
      </c>
    </row>
    <row r="158" spans="2:13" x14ac:dyDescent="0.3">
      <c r="D158" s="58" t="s">
        <v>642</v>
      </c>
    </row>
    <row r="160" spans="2:13" x14ac:dyDescent="0.3">
      <c r="D160" s="58" t="s">
        <v>643</v>
      </c>
    </row>
    <row r="161" spans="4:15" x14ac:dyDescent="0.3">
      <c r="D161" s="58"/>
    </row>
    <row r="162" spans="4:15" x14ac:dyDescent="0.3">
      <c r="D162" s="58"/>
      <c r="E162" s="58" t="s">
        <v>644</v>
      </c>
      <c r="F162" s="58"/>
      <c r="G162" s="58"/>
      <c r="H162" s="58"/>
      <c r="I162" s="58"/>
      <c r="J162" s="58"/>
      <c r="K162" s="58"/>
      <c r="L162" s="58"/>
      <c r="M162" s="58"/>
      <c r="N162" s="58"/>
      <c r="O162" s="58"/>
    </row>
    <row r="163" spans="4:15" x14ac:dyDescent="0.3">
      <c r="D163" s="58"/>
      <c r="E163" s="58" t="s">
        <v>645</v>
      </c>
      <c r="G163" s="58"/>
      <c r="H163" s="58"/>
      <c r="I163" s="58"/>
      <c r="J163" s="58"/>
      <c r="K163" s="58"/>
      <c r="L163" s="58"/>
      <c r="M163" s="58"/>
      <c r="N163" s="58"/>
      <c r="O163" s="58"/>
    </row>
    <row r="165" spans="4:15" x14ac:dyDescent="0.3">
      <c r="D165" s="58" t="s">
        <v>646</v>
      </c>
      <c r="H165" s="58"/>
    </row>
    <row r="167" spans="4:15" x14ac:dyDescent="0.3">
      <c r="D167" s="58" t="s">
        <v>647</v>
      </c>
      <c r="E167" s="58"/>
      <c r="F167" s="58"/>
      <c r="G167" s="58"/>
      <c r="H167" s="58"/>
    </row>
    <row r="168" spans="4:15" x14ac:dyDescent="0.3">
      <c r="D168" s="58"/>
      <c r="E168" s="58"/>
      <c r="F168" s="58"/>
      <c r="G168" s="58"/>
      <c r="H168" s="58"/>
    </row>
    <row r="169" spans="4:15" x14ac:dyDescent="0.3">
      <c r="D169" s="58" t="s">
        <v>648</v>
      </c>
      <c r="E169" s="58"/>
      <c r="F169" s="58"/>
      <c r="G169" s="58"/>
      <c r="H169" s="58"/>
    </row>
    <row r="170" spans="4:15" x14ac:dyDescent="0.3">
      <c r="D170" s="58"/>
      <c r="E170" s="58"/>
      <c r="F170" s="58"/>
      <c r="G170" s="58"/>
      <c r="H170" s="58"/>
    </row>
    <row r="171" spans="4:15" x14ac:dyDescent="0.3">
      <c r="D171" s="58"/>
      <c r="E171" s="58"/>
      <c r="F171" s="58" t="s">
        <v>649</v>
      </c>
      <c r="G171" s="58"/>
      <c r="H171" s="58"/>
    </row>
    <row r="172" spans="4:15" x14ac:dyDescent="0.3">
      <c r="D172" s="58"/>
      <c r="E172" s="58"/>
      <c r="F172" s="58" t="s">
        <v>650</v>
      </c>
      <c r="G172" s="58"/>
      <c r="H172" s="58"/>
    </row>
    <row r="173" spans="4:15" x14ac:dyDescent="0.3">
      <c r="D173" s="58"/>
      <c r="E173" s="58"/>
      <c r="F173" s="58"/>
      <c r="G173" s="58" t="s">
        <v>651</v>
      </c>
      <c r="H173" s="58"/>
    </row>
    <row r="174" spans="4:15" x14ac:dyDescent="0.3">
      <c r="D174" s="58"/>
      <c r="E174" s="58"/>
      <c r="F174" s="58" t="s">
        <v>652</v>
      </c>
      <c r="G174" s="58"/>
      <c r="H174" s="58"/>
    </row>
    <row r="175" spans="4:15" x14ac:dyDescent="0.3">
      <c r="D175" s="58"/>
      <c r="E175" s="58"/>
      <c r="F175" s="58" t="s">
        <v>653</v>
      </c>
      <c r="G175" s="58"/>
      <c r="H175" s="58"/>
    </row>
    <row r="176" spans="4:15" x14ac:dyDescent="0.3">
      <c r="D176" s="58"/>
      <c r="E176" s="58"/>
      <c r="F176" s="58" t="s">
        <v>654</v>
      </c>
      <c r="G176" s="58"/>
      <c r="H176" s="58"/>
    </row>
    <row r="178" spans="3:8" x14ac:dyDescent="0.3">
      <c r="C178" s="58" t="s">
        <v>655</v>
      </c>
    </row>
    <row r="180" spans="3:8" x14ac:dyDescent="0.3">
      <c r="E180" s="58" t="s">
        <v>649</v>
      </c>
    </row>
    <row r="181" spans="3:8" x14ac:dyDescent="0.3">
      <c r="E181" t="s">
        <v>656</v>
      </c>
    </row>
    <row r="183" spans="3:8" x14ac:dyDescent="0.3">
      <c r="C183" s="490" t="s">
        <v>657</v>
      </c>
      <c r="D183" s="58"/>
      <c r="E183" s="58"/>
      <c r="F183" s="58"/>
      <c r="G183" s="58"/>
      <c r="H183" s="58"/>
    </row>
    <row r="184" spans="3:8" x14ac:dyDescent="0.3">
      <c r="C184" s="58"/>
      <c r="D184" s="58"/>
      <c r="E184" s="58"/>
      <c r="F184" s="58"/>
      <c r="G184" s="58"/>
      <c r="H184" s="58"/>
    </row>
    <row r="185" spans="3:8" x14ac:dyDescent="0.3">
      <c r="C185" s="58"/>
      <c r="D185" s="58" t="s">
        <v>757</v>
      </c>
      <c r="E185" s="58"/>
      <c r="F185" s="58"/>
      <c r="G185" s="58"/>
      <c r="H185" s="58"/>
    </row>
    <row r="186" spans="3:8" x14ac:dyDescent="0.3">
      <c r="C186" s="58"/>
      <c r="D186" s="58"/>
      <c r="E186" s="58"/>
      <c r="F186" s="58"/>
      <c r="G186" s="58"/>
      <c r="H186" s="58"/>
    </row>
    <row r="187" spans="3:8" x14ac:dyDescent="0.3">
      <c r="C187" s="58"/>
      <c r="D187" s="58"/>
      <c r="E187" s="58" t="s">
        <v>658</v>
      </c>
      <c r="F187" s="58"/>
      <c r="G187" s="58"/>
      <c r="H187" s="58"/>
    </row>
    <row r="188" spans="3:8" x14ac:dyDescent="0.3">
      <c r="C188" s="58"/>
      <c r="D188" s="58"/>
      <c r="E188" s="58"/>
      <c r="F188" s="58"/>
      <c r="G188" s="58"/>
      <c r="H188" s="58"/>
    </row>
    <row r="189" spans="3:8" x14ac:dyDescent="0.3">
      <c r="D189" s="58" t="s">
        <v>758</v>
      </c>
      <c r="E189" s="58"/>
      <c r="F189" s="58"/>
      <c r="G189" s="58"/>
      <c r="H189" s="58"/>
    </row>
    <row r="190" spans="3:8" x14ac:dyDescent="0.3">
      <c r="D190" s="58"/>
      <c r="E190" s="58"/>
      <c r="F190" s="58"/>
      <c r="G190" s="58"/>
      <c r="H190" s="58"/>
    </row>
    <row r="191" spans="3:8" x14ac:dyDescent="0.3">
      <c r="D191" s="58"/>
      <c r="E191" s="58" t="s">
        <v>659</v>
      </c>
      <c r="F191" s="58"/>
      <c r="G191" s="58"/>
      <c r="H191" s="58"/>
    </row>
    <row r="192" spans="3:8" x14ac:dyDescent="0.3">
      <c r="D192" s="58"/>
      <c r="E192" s="58"/>
      <c r="F192" s="58"/>
      <c r="G192" s="58"/>
      <c r="H192" s="58"/>
    </row>
    <row r="193" spans="2:10" x14ac:dyDescent="0.3">
      <c r="D193" s="58"/>
      <c r="E193" s="58" t="s">
        <v>660</v>
      </c>
      <c r="F193" s="58"/>
      <c r="G193" s="58"/>
      <c r="H193" s="58"/>
    </row>
    <row r="194" spans="2:10" x14ac:dyDescent="0.3">
      <c r="D194" s="58"/>
      <c r="E194" s="58"/>
      <c r="F194" s="58"/>
      <c r="G194" s="58"/>
      <c r="H194" s="58"/>
    </row>
    <row r="195" spans="2:10" x14ac:dyDescent="0.3">
      <c r="D195" s="58"/>
      <c r="E195" s="58" t="s">
        <v>661</v>
      </c>
      <c r="F195" s="58"/>
      <c r="G195" s="58"/>
      <c r="H195" s="58"/>
      <c r="I195" s="58"/>
      <c r="J195" s="58"/>
    </row>
    <row r="196" spans="2:10" x14ac:dyDescent="0.3">
      <c r="D196" s="58"/>
      <c r="E196" s="58"/>
      <c r="F196" s="58"/>
      <c r="G196" s="58"/>
      <c r="H196" s="58"/>
      <c r="I196" s="58"/>
      <c r="J196" s="58"/>
    </row>
    <row r="197" spans="2:10" x14ac:dyDescent="0.3">
      <c r="D197" s="58"/>
      <c r="E197" s="58"/>
      <c r="F197" s="58"/>
      <c r="G197" s="58" t="s">
        <v>469</v>
      </c>
      <c r="H197" s="58"/>
      <c r="I197" s="58"/>
      <c r="J197" s="58"/>
    </row>
    <row r="198" spans="2:10" x14ac:dyDescent="0.3">
      <c r="D198" s="58"/>
      <c r="E198" s="58"/>
      <c r="F198" s="58"/>
      <c r="G198" s="58" t="s">
        <v>662</v>
      </c>
      <c r="H198" s="58"/>
      <c r="I198" s="58"/>
      <c r="J198" s="58"/>
    </row>
    <row r="199" spans="2:10" x14ac:dyDescent="0.3">
      <c r="D199" s="58"/>
      <c r="E199" s="58"/>
      <c r="F199" s="58"/>
      <c r="G199" s="58"/>
      <c r="H199" s="58"/>
      <c r="I199" s="58"/>
      <c r="J199" s="58"/>
    </row>
    <row r="200" spans="2:10" x14ac:dyDescent="0.3">
      <c r="D200" s="58"/>
      <c r="E200" s="58"/>
      <c r="F200" s="58" t="s">
        <v>663</v>
      </c>
      <c r="G200" s="58"/>
      <c r="H200" s="58"/>
      <c r="I200" s="58"/>
      <c r="J200" s="58"/>
    </row>
    <row r="201" spans="2:10" x14ac:dyDescent="0.3">
      <c r="D201" s="58"/>
      <c r="E201" s="58"/>
      <c r="F201" s="58"/>
      <c r="G201" s="58"/>
      <c r="H201" s="58"/>
      <c r="I201" s="58"/>
      <c r="J201" s="58"/>
    </row>
    <row r="202" spans="2:10" x14ac:dyDescent="0.3">
      <c r="D202" s="58" t="s">
        <v>664</v>
      </c>
      <c r="E202" s="58"/>
      <c r="F202" s="58"/>
      <c r="G202" s="58"/>
      <c r="H202" s="58"/>
      <c r="I202" s="58"/>
      <c r="J202" s="58"/>
    </row>
    <row r="203" spans="2:10" x14ac:dyDescent="0.3">
      <c r="D203" s="58"/>
      <c r="E203" s="58"/>
      <c r="F203" s="58"/>
      <c r="G203" s="58"/>
      <c r="H203" s="58"/>
      <c r="I203" s="58"/>
      <c r="J203" s="58"/>
    </row>
    <row r="204" spans="2:10" x14ac:dyDescent="0.3">
      <c r="B204" s="58"/>
      <c r="C204" s="58" t="s">
        <v>665</v>
      </c>
      <c r="D204" s="58"/>
      <c r="E204" s="58"/>
      <c r="F204" s="58"/>
      <c r="G204" s="58"/>
      <c r="H204" s="58"/>
      <c r="I204" s="58"/>
      <c r="J204" s="58"/>
    </row>
    <row r="205" spans="2:10" x14ac:dyDescent="0.3">
      <c r="B205" s="58"/>
      <c r="C205" s="58"/>
      <c r="D205" s="58"/>
      <c r="E205" s="58"/>
    </row>
    <row r="206" spans="2:10" x14ac:dyDescent="0.3">
      <c r="B206" s="58"/>
      <c r="C206" s="58"/>
      <c r="D206" s="58" t="s">
        <v>666</v>
      </c>
      <c r="E206" s="58"/>
    </row>
    <row r="208" spans="2:10" x14ac:dyDescent="0.3">
      <c r="E208" s="527" t="s">
        <v>667</v>
      </c>
      <c r="F208" s="58"/>
    </row>
    <row r="209" spans="4:9" x14ac:dyDescent="0.3">
      <c r="E209" s="58" t="s">
        <v>668</v>
      </c>
    </row>
    <row r="211" spans="4:9" x14ac:dyDescent="0.3">
      <c r="D211" s="58" t="s">
        <v>669</v>
      </c>
      <c r="E211" s="58"/>
      <c r="F211" s="58"/>
      <c r="G211" s="58"/>
      <c r="H211" s="58"/>
      <c r="I211" s="58"/>
    </row>
    <row r="212" spans="4:9" x14ac:dyDescent="0.3">
      <c r="D212" s="58"/>
      <c r="E212" s="58"/>
      <c r="F212" s="58"/>
      <c r="G212" s="58"/>
      <c r="H212" s="58"/>
      <c r="I212" s="58"/>
    </row>
    <row r="213" spans="4:9" x14ac:dyDescent="0.3">
      <c r="D213" s="58" t="s">
        <v>670</v>
      </c>
      <c r="E213" s="58"/>
      <c r="F213" s="58"/>
      <c r="G213" s="58"/>
      <c r="H213" s="58"/>
      <c r="I213" s="58"/>
    </row>
    <row r="214" spans="4:9" x14ac:dyDescent="0.3">
      <c r="D214" s="58"/>
      <c r="E214" s="58"/>
      <c r="F214" s="58"/>
      <c r="G214" s="58"/>
      <c r="H214" s="58"/>
      <c r="I214" s="58"/>
    </row>
    <row r="215" spans="4:9" x14ac:dyDescent="0.3">
      <c r="D215" s="58"/>
      <c r="E215" s="527" t="s">
        <v>671</v>
      </c>
      <c r="F215" s="58"/>
      <c r="G215" s="58"/>
      <c r="H215" s="58"/>
      <c r="I215" s="58"/>
    </row>
    <row r="216" spans="4:9" x14ac:dyDescent="0.3">
      <c r="D216" s="58"/>
      <c r="E216" s="58" t="s">
        <v>672</v>
      </c>
      <c r="F216" s="58"/>
      <c r="G216" s="58"/>
      <c r="H216" s="58"/>
      <c r="I216" s="58"/>
    </row>
    <row r="218" spans="4:9" x14ac:dyDescent="0.3">
      <c r="E218" s="527" t="s">
        <v>673</v>
      </c>
    </row>
    <row r="219" spans="4:9" x14ac:dyDescent="0.3">
      <c r="E219" s="58" t="s">
        <v>674</v>
      </c>
    </row>
    <row r="221" spans="4:9" x14ac:dyDescent="0.3">
      <c r="E221" s="527" t="s">
        <v>675</v>
      </c>
    </row>
    <row r="223" spans="4:9" x14ac:dyDescent="0.3">
      <c r="E223" s="58" t="s">
        <v>676</v>
      </c>
    </row>
    <row r="226" spans="2:7" x14ac:dyDescent="0.3">
      <c r="C226" s="58" t="s">
        <v>677</v>
      </c>
      <c r="D226" s="58"/>
      <c r="E226" s="58"/>
      <c r="F226" s="58"/>
      <c r="G226" s="58"/>
    </row>
    <row r="227" spans="2:7" x14ac:dyDescent="0.3">
      <c r="C227" s="58"/>
      <c r="D227" s="58"/>
      <c r="E227" s="58"/>
      <c r="F227" s="58"/>
      <c r="G227" s="58"/>
    </row>
    <row r="228" spans="2:7" x14ac:dyDescent="0.3">
      <c r="C228" s="58"/>
      <c r="D228" s="58"/>
      <c r="E228" s="58" t="s">
        <v>678</v>
      </c>
      <c r="F228" s="58"/>
      <c r="G228" s="58"/>
    </row>
    <row r="229" spans="2:7" x14ac:dyDescent="0.3">
      <c r="C229" s="58"/>
      <c r="D229" s="58"/>
      <c r="E229" s="58"/>
      <c r="F229" s="58"/>
      <c r="G229" s="58"/>
    </row>
    <row r="230" spans="2:7" x14ac:dyDescent="0.3">
      <c r="C230" s="58"/>
      <c r="D230" s="58" t="s">
        <v>679</v>
      </c>
      <c r="G230" s="58"/>
    </row>
    <row r="231" spans="2:7" x14ac:dyDescent="0.3">
      <c r="C231" s="58"/>
      <c r="D231" s="58" t="s">
        <v>680</v>
      </c>
      <c r="G231" s="58"/>
    </row>
    <row r="232" spans="2:7" x14ac:dyDescent="0.3">
      <c r="C232" s="58"/>
      <c r="D232" s="58"/>
      <c r="E232" s="58" t="s">
        <v>681</v>
      </c>
      <c r="G232" s="58"/>
    </row>
    <row r="233" spans="2:7" x14ac:dyDescent="0.3">
      <c r="E233" s="58" t="s">
        <v>682</v>
      </c>
    </row>
    <row r="234" spans="2:7" x14ac:dyDescent="0.3">
      <c r="E234" t="s">
        <v>761</v>
      </c>
    </row>
    <row r="235" spans="2:7" x14ac:dyDescent="0.3">
      <c r="B235" s="58" t="s">
        <v>683</v>
      </c>
    </row>
    <row r="236" spans="2:7" x14ac:dyDescent="0.3">
      <c r="B236" s="58" t="s">
        <v>684</v>
      </c>
      <c r="C236" s="58"/>
    </row>
    <row r="237" spans="2:7" x14ac:dyDescent="0.3">
      <c r="C237" s="58"/>
    </row>
    <row r="238" spans="2:7" x14ac:dyDescent="0.3">
      <c r="B238" s="527" t="s">
        <v>685</v>
      </c>
    </row>
    <row r="239" spans="2:7" x14ac:dyDescent="0.3">
      <c r="B239" s="58" t="s">
        <v>686</v>
      </c>
    </row>
    <row r="240" spans="2:7" x14ac:dyDescent="0.3">
      <c r="B240" s="58" t="s">
        <v>687</v>
      </c>
    </row>
    <row r="241" spans="2:14" x14ac:dyDescent="0.3">
      <c r="B241" s="58" t="s">
        <v>688</v>
      </c>
    </row>
    <row r="242" spans="2:14" x14ac:dyDescent="0.3">
      <c r="B242" s="58" t="s">
        <v>689</v>
      </c>
    </row>
    <row r="243" spans="2:14" x14ac:dyDescent="0.3">
      <c r="B243" s="58"/>
    </row>
    <row r="244" spans="2:14" x14ac:dyDescent="0.3">
      <c r="B244" s="579" t="s">
        <v>760</v>
      </c>
      <c r="C244" s="578"/>
      <c r="D244" s="578"/>
      <c r="E244" s="578"/>
      <c r="F244" s="578"/>
      <c r="G244" s="578"/>
      <c r="H244" s="578"/>
      <c r="I244" s="578"/>
      <c r="J244" s="578"/>
      <c r="K244" s="578"/>
      <c r="L244" s="578"/>
      <c r="M244" s="578"/>
      <c r="N244" s="578"/>
    </row>
    <row r="245" spans="2:14" x14ac:dyDescent="0.3">
      <c r="B245" s="579" t="s">
        <v>759</v>
      </c>
      <c r="C245" s="578"/>
      <c r="D245" s="578"/>
      <c r="E245" s="578"/>
      <c r="F245" s="578"/>
      <c r="G245" s="578"/>
      <c r="H245" s="578"/>
      <c r="I245" s="578"/>
      <c r="J245" s="578"/>
      <c r="K245" s="578"/>
      <c r="L245" s="578"/>
      <c r="M245" s="578"/>
      <c r="N245" s="578"/>
    </row>
    <row r="247" spans="2:14" x14ac:dyDescent="0.3">
      <c r="B247" t="s">
        <v>834</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B5" sqref="A1:XFD1048576"/>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892" t="s">
        <v>68</v>
      </c>
      <c r="C1" s="893"/>
      <c r="D1" s="28" t="s">
        <v>69</v>
      </c>
      <c r="E1" s="272" t="s">
        <v>70</v>
      </c>
    </row>
    <row r="2" spans="1:6" ht="19.5" customHeight="1" x14ac:dyDescent="0.3">
      <c r="B2" s="894" t="s">
        <v>269</v>
      </c>
      <c r="C2" s="895"/>
      <c r="D2" s="28"/>
      <c r="E2" s="272"/>
    </row>
    <row r="3" spans="1:6" s="58" customFormat="1" ht="19.5" customHeight="1" x14ac:dyDescent="0.25">
      <c r="A3" s="203" t="s">
        <v>81</v>
      </c>
      <c r="B3" s="896" t="s">
        <v>278</v>
      </c>
      <c r="C3" s="897"/>
      <c r="D3" s="205"/>
      <c r="E3" s="205">
        <v>7.0000000000000007E-2</v>
      </c>
      <c r="F3" s="206"/>
    </row>
    <row r="4" spans="1:6" s="58" customFormat="1" ht="19.5" customHeight="1" x14ac:dyDescent="0.25">
      <c r="A4" s="203" t="s">
        <v>81</v>
      </c>
      <c r="B4" s="887" t="s">
        <v>205</v>
      </c>
      <c r="C4" s="888"/>
      <c r="D4" s="205"/>
      <c r="E4" s="205">
        <v>0.06</v>
      </c>
      <c r="F4" s="65"/>
    </row>
    <row r="5" spans="1:6" s="58" customFormat="1" ht="19.5" customHeight="1" x14ac:dyDescent="0.25">
      <c r="A5" s="203" t="s">
        <v>81</v>
      </c>
      <c r="B5" s="887" t="s">
        <v>201</v>
      </c>
      <c r="C5" s="888"/>
      <c r="D5" s="388"/>
      <c r="E5" s="388"/>
      <c r="F5" s="886"/>
    </row>
    <row r="6" spans="1:6" s="58" customFormat="1" ht="19.5" customHeight="1" x14ac:dyDescent="0.25">
      <c r="A6" s="203" t="s">
        <v>81</v>
      </c>
      <c r="B6" s="887" t="s">
        <v>255</v>
      </c>
      <c r="C6" s="888"/>
      <c r="D6" s="205"/>
      <c r="E6" s="205"/>
      <c r="F6" s="886"/>
    </row>
    <row r="7" spans="1:6" s="58" customFormat="1" ht="19.5" customHeight="1" x14ac:dyDescent="0.25">
      <c r="B7" s="871"/>
      <c r="C7" s="872"/>
      <c r="D7" s="872"/>
      <c r="E7" s="873"/>
      <c r="F7" s="273"/>
    </row>
    <row r="8" spans="1:6" s="58" customFormat="1" ht="19.5" customHeight="1" x14ac:dyDescent="0.25">
      <c r="B8" s="863" t="s">
        <v>37</v>
      </c>
      <c r="C8" s="864"/>
      <c r="D8" s="274"/>
      <c r="E8" s="275"/>
    </row>
    <row r="9" spans="1:6" s="58" customFormat="1" ht="19.5" customHeight="1" x14ac:dyDescent="0.25">
      <c r="B9" s="861" t="s">
        <v>270</v>
      </c>
      <c r="C9" s="862"/>
      <c r="D9" s="31"/>
      <c r="E9" s="31"/>
    </row>
    <row r="10" spans="1:6" s="58" customFormat="1" ht="19.5" customHeight="1" x14ac:dyDescent="0.25">
      <c r="B10" s="717" t="s">
        <v>256</v>
      </c>
      <c r="C10" s="718"/>
      <c r="D10" s="32"/>
      <c r="E10" s="204">
        <v>3.4500000000000003E-2</v>
      </c>
    </row>
    <row r="11" spans="1:6" s="58" customFormat="1" ht="19.5" customHeight="1" x14ac:dyDescent="0.25">
      <c r="B11" s="767" t="s">
        <v>257</v>
      </c>
      <c r="C11" s="721"/>
      <c r="D11" s="32"/>
      <c r="E11" s="208">
        <v>1.7999999999999999E-2</v>
      </c>
    </row>
    <row r="12" spans="1:6" s="58" customFormat="1" ht="19.5" customHeight="1" x14ac:dyDescent="0.25">
      <c r="B12" s="867" t="s">
        <v>271</v>
      </c>
      <c r="C12" s="868"/>
      <c r="D12" s="276"/>
      <c r="E12" s="207"/>
    </row>
    <row r="13" spans="1:6" s="58" customFormat="1" ht="19.5" customHeight="1" x14ac:dyDescent="0.25">
      <c r="B13" s="881" t="s">
        <v>209</v>
      </c>
      <c r="C13" s="882"/>
      <c r="D13" s="209"/>
      <c r="E13" s="209">
        <v>4.0500000000000001E-2</v>
      </c>
    </row>
    <row r="14" spans="1:6" s="58" customFormat="1" ht="19.5" customHeight="1" x14ac:dyDescent="0.25">
      <c r="B14" s="881" t="s">
        <v>225</v>
      </c>
      <c r="C14" s="882"/>
      <c r="D14" s="209"/>
      <c r="E14" s="209">
        <v>2.5000000000000001E-3</v>
      </c>
    </row>
    <row r="15" spans="1:6" s="58" customFormat="1" ht="19.5" customHeight="1" x14ac:dyDescent="0.25">
      <c r="B15" s="889" t="s">
        <v>284</v>
      </c>
      <c r="C15" s="859"/>
      <c r="D15" s="277">
        <v>2.4000000000000001E-4</v>
      </c>
      <c r="E15" s="278">
        <v>3.6000000000000002E-4</v>
      </c>
    </row>
    <row r="16" spans="1:6" s="58" customFormat="1" ht="19.5" customHeight="1" x14ac:dyDescent="0.25">
      <c r="B16" s="890" t="s">
        <v>38</v>
      </c>
      <c r="C16" s="891"/>
      <c r="D16" s="891"/>
      <c r="E16" s="891"/>
    </row>
    <row r="17" spans="1:6" s="58" customFormat="1" ht="19.5" customHeight="1" x14ac:dyDescent="0.25">
      <c r="B17" s="853" t="s">
        <v>39</v>
      </c>
      <c r="C17" s="854"/>
      <c r="D17" s="204">
        <v>6.9000000000000006E-2</v>
      </c>
      <c r="E17" s="204">
        <v>8.5500000000000007E-2</v>
      </c>
    </row>
    <row r="18" spans="1:6" s="58" customFormat="1" ht="19.5" customHeight="1" x14ac:dyDescent="0.25">
      <c r="B18" s="853" t="s">
        <v>40</v>
      </c>
      <c r="C18" s="854"/>
      <c r="D18" s="204">
        <v>4.0000000000000001E-3</v>
      </c>
      <c r="E18" s="518">
        <v>2.0199999999999999E-2</v>
      </c>
    </row>
    <row r="19" spans="1:6" s="58" customFormat="1" ht="19.5" customHeight="1" x14ac:dyDescent="0.25">
      <c r="B19" s="853" t="s">
        <v>41</v>
      </c>
      <c r="C19" s="854"/>
      <c r="D19" s="204">
        <v>3.15E-2</v>
      </c>
      <c r="E19" s="204">
        <v>4.7199999999999999E-2</v>
      </c>
    </row>
    <row r="20" spans="1:6" s="58" customFormat="1" ht="19.5" customHeight="1" x14ac:dyDescent="0.25">
      <c r="B20" s="853" t="s">
        <v>42</v>
      </c>
      <c r="C20" s="854"/>
      <c r="D20" s="204">
        <v>8.6400000000000005E-2</v>
      </c>
      <c r="E20" s="204">
        <v>0.1295</v>
      </c>
    </row>
    <row r="21" spans="1:6" s="58" customFormat="1" ht="19.5" customHeight="1" x14ac:dyDescent="0.25">
      <c r="B21" s="853" t="s">
        <v>74</v>
      </c>
      <c r="C21" s="854"/>
      <c r="D21" s="204">
        <v>8.6E-3</v>
      </c>
      <c r="E21" s="204">
        <v>1.29E-2</v>
      </c>
    </row>
    <row r="22" spans="1:6" s="58" customFormat="1" ht="19.5" customHeight="1" x14ac:dyDescent="0.25">
      <c r="B22" s="853" t="s">
        <v>75</v>
      </c>
      <c r="C22" s="854"/>
      <c r="D22" s="204">
        <v>1.0800000000000001E-2</v>
      </c>
      <c r="E22" s="204">
        <v>1.6199999999999999E-2</v>
      </c>
    </row>
    <row r="23" spans="1:6" s="58" customFormat="1" ht="19.5" customHeight="1" x14ac:dyDescent="0.25">
      <c r="B23" s="853" t="s">
        <v>76</v>
      </c>
      <c r="C23" s="854"/>
      <c r="D23" s="204">
        <v>1.4E-3</v>
      </c>
      <c r="E23" s="204">
        <v>2.0999999999999999E-3</v>
      </c>
    </row>
    <row r="24" spans="1:6" s="58" customFormat="1" ht="19.5" customHeight="1" x14ac:dyDescent="0.25">
      <c r="B24" s="853" t="s">
        <v>77</v>
      </c>
      <c r="C24" s="854"/>
      <c r="D24" s="204">
        <v>1.4E-3</v>
      </c>
      <c r="E24" s="204">
        <v>2.0999999999999999E-3</v>
      </c>
    </row>
    <row r="25" spans="1:6" s="58" customFormat="1" ht="19.5" customHeight="1" x14ac:dyDescent="0.25">
      <c r="B25" s="224"/>
      <c r="C25" s="225"/>
      <c r="D25" s="276"/>
      <c r="E25" s="207"/>
      <c r="F25" s="273"/>
    </row>
    <row r="26" spans="1:6" s="58" customFormat="1" ht="19.5" customHeight="1" x14ac:dyDescent="0.25">
      <c r="B26" s="853" t="s">
        <v>210</v>
      </c>
      <c r="C26" s="854"/>
      <c r="D26" s="32"/>
      <c r="E26" s="204">
        <v>1E-3</v>
      </c>
      <c r="F26" s="273"/>
    </row>
    <row r="27" spans="1:6" s="58" customFormat="1" ht="19.5" customHeight="1" x14ac:dyDescent="0.25">
      <c r="B27" s="869" t="s">
        <v>211</v>
      </c>
      <c r="C27" s="870"/>
      <c r="D27" s="32"/>
      <c r="E27" s="204">
        <v>5.0000000000000001E-3</v>
      </c>
      <c r="F27" s="273"/>
    </row>
    <row r="28" spans="1:6" s="58" customFormat="1" ht="19.5" customHeight="1" x14ac:dyDescent="0.25">
      <c r="B28" s="869" t="s">
        <v>184</v>
      </c>
      <c r="C28" s="870"/>
      <c r="D28" s="32"/>
      <c r="E28" s="204">
        <v>3.2000000000000001E-2</v>
      </c>
      <c r="F28" s="273" t="s">
        <v>506</v>
      </c>
    </row>
    <row r="29" spans="1:6" s="58" customFormat="1" ht="19.5" customHeight="1" x14ac:dyDescent="0.25">
      <c r="B29" s="853" t="s">
        <v>72</v>
      </c>
      <c r="C29" s="854"/>
      <c r="D29" s="32"/>
      <c r="E29" s="204">
        <v>3.0000000000000001E-3</v>
      </c>
      <c r="F29" s="273"/>
    </row>
    <row r="30" spans="1:6" s="58" customFormat="1" ht="19.5" customHeight="1" x14ac:dyDescent="0.25">
      <c r="B30" s="853" t="s">
        <v>46</v>
      </c>
      <c r="C30" s="854"/>
      <c r="D30" s="32"/>
      <c r="E30" s="204">
        <v>0.08</v>
      </c>
      <c r="F30" s="273"/>
    </row>
    <row r="31" spans="1:6" s="58" customFormat="1" ht="19.5" customHeight="1" x14ac:dyDescent="0.25">
      <c r="B31" s="220" t="s">
        <v>227</v>
      </c>
      <c r="C31" s="220"/>
      <c r="D31" s="32"/>
      <c r="E31" s="204">
        <v>0.2</v>
      </c>
      <c r="F31" s="273"/>
    </row>
    <row r="32" spans="1:6" s="58" customFormat="1" ht="15.6" x14ac:dyDescent="0.25">
      <c r="A32" s="203" t="s">
        <v>82</v>
      </c>
      <c r="B32" s="853" t="s">
        <v>73</v>
      </c>
      <c r="C32" s="854"/>
      <c r="D32" s="32"/>
      <c r="E32" s="209">
        <v>1.6000000000000001E-4</v>
      </c>
      <c r="F32" s="206"/>
    </row>
    <row r="33" spans="1:6" s="58" customFormat="1" ht="15.6" x14ac:dyDescent="0.25">
      <c r="A33" s="203" t="s">
        <v>82</v>
      </c>
      <c r="B33" s="853" t="s">
        <v>78</v>
      </c>
      <c r="C33" s="854"/>
      <c r="D33" s="29"/>
      <c r="E33" s="204">
        <v>6.7999999999999996E-3</v>
      </c>
      <c r="F33" s="206"/>
    </row>
    <row r="34" spans="1:6" s="58" customFormat="1" ht="15" customHeight="1" x14ac:dyDescent="0.25">
      <c r="A34" s="203" t="s">
        <v>82</v>
      </c>
      <c r="B34" s="853" t="s">
        <v>212</v>
      </c>
      <c r="C34" s="854"/>
      <c r="D34" s="29"/>
      <c r="E34" s="204">
        <v>0.01</v>
      </c>
      <c r="F34" s="210"/>
    </row>
    <row r="35" spans="1:6" s="58" customFormat="1" ht="15" customHeight="1" x14ac:dyDescent="0.25">
      <c r="A35" s="203" t="s">
        <v>82</v>
      </c>
      <c r="B35" s="853" t="s">
        <v>212</v>
      </c>
      <c r="C35" s="854"/>
      <c r="D35" s="29"/>
      <c r="E35" s="204">
        <v>5.4999999999999997E-3</v>
      </c>
      <c r="F35" s="210"/>
    </row>
    <row r="36" spans="1:6" s="58" customFormat="1" ht="15" customHeight="1" x14ac:dyDescent="0.25">
      <c r="A36" s="203" t="s">
        <v>82</v>
      </c>
      <c r="B36" s="853" t="s">
        <v>84</v>
      </c>
      <c r="C36" s="854"/>
      <c r="D36" s="29"/>
      <c r="E36" s="204">
        <v>4.4999999999999997E-3</v>
      </c>
      <c r="F36" s="211"/>
    </row>
    <row r="37" spans="1:6" s="58" customFormat="1" ht="15" customHeight="1" x14ac:dyDescent="0.25">
      <c r="A37" s="203" t="s">
        <v>82</v>
      </c>
      <c r="B37" s="876"/>
      <c r="C37" s="877"/>
      <c r="D37" s="276"/>
      <c r="E37" s="207"/>
      <c r="F37" s="211"/>
    </row>
    <row r="38" spans="1:6" s="58" customFormat="1" ht="15" customHeight="1" x14ac:dyDescent="0.25">
      <c r="A38" s="203" t="s">
        <v>82</v>
      </c>
      <c r="B38" s="865" t="s">
        <v>48</v>
      </c>
      <c r="C38" s="866"/>
      <c r="D38" s="279">
        <v>6.8000000000000005E-2</v>
      </c>
      <c r="E38" s="212"/>
      <c r="F38" s="512"/>
    </row>
    <row r="39" spans="1:6" s="58" customFormat="1" ht="15.75" customHeight="1" x14ac:dyDescent="0.25">
      <c r="A39" s="203" t="s">
        <v>82</v>
      </c>
      <c r="B39" s="860" t="s">
        <v>49</v>
      </c>
      <c r="C39" s="860"/>
      <c r="D39" s="279">
        <v>2.9000000000000001E-2</v>
      </c>
      <c r="E39" s="212"/>
      <c r="F39" s="206"/>
    </row>
    <row r="40" spans="1:6" s="58" customFormat="1" ht="15.75" customHeight="1" x14ac:dyDescent="0.25">
      <c r="B40" s="865" t="s">
        <v>50</v>
      </c>
      <c r="C40" s="866"/>
      <c r="D40" s="279">
        <v>6.8000000000000005E-2</v>
      </c>
      <c r="E40" s="212"/>
      <c r="F40" s="206"/>
    </row>
    <row r="41" spans="1:6" s="58" customFormat="1" ht="15" customHeight="1" x14ac:dyDescent="0.25">
      <c r="A41" s="58" t="s">
        <v>83</v>
      </c>
      <c r="B41" s="865" t="s">
        <v>51</v>
      </c>
      <c r="C41" s="866"/>
      <c r="D41" s="279">
        <v>6.8000000000000005E-2</v>
      </c>
      <c r="E41" s="212"/>
    </row>
    <row r="42" spans="1:6" s="58" customFormat="1" ht="15" customHeight="1" x14ac:dyDescent="0.25">
      <c r="A42" s="58" t="s">
        <v>83</v>
      </c>
      <c r="B42" s="865" t="s">
        <v>52</v>
      </c>
      <c r="C42" s="866"/>
      <c r="D42" s="279">
        <v>2.9000000000000001E-2</v>
      </c>
      <c r="E42" s="212"/>
    </row>
    <row r="43" spans="1:6" s="58" customFormat="1" ht="10.5" customHeight="1" x14ac:dyDescent="0.25">
      <c r="A43" s="58" t="s">
        <v>83</v>
      </c>
      <c r="B43" s="883"/>
      <c r="C43" s="884"/>
      <c r="D43" s="884"/>
      <c r="E43" s="885"/>
      <c r="F43" s="35"/>
    </row>
    <row r="44" spans="1:6" s="58" customFormat="1" ht="15" customHeight="1" x14ac:dyDescent="0.25">
      <c r="A44" s="58" t="s">
        <v>83</v>
      </c>
      <c r="B44" s="857" t="s">
        <v>272</v>
      </c>
      <c r="C44" s="858"/>
      <c r="D44" s="280"/>
      <c r="E44" s="281"/>
      <c r="F44" s="206"/>
    </row>
    <row r="45" spans="1:6" s="58" customFormat="1" ht="15" customHeight="1" x14ac:dyDescent="0.25">
      <c r="A45" s="58" t="s">
        <v>83</v>
      </c>
      <c r="B45" s="859" t="s">
        <v>260</v>
      </c>
      <c r="C45" s="860"/>
      <c r="D45" s="279"/>
      <c r="E45" s="279"/>
      <c r="F45" s="186"/>
    </row>
    <row r="46" spans="1:6" s="58" customFormat="1" ht="15" customHeight="1" x14ac:dyDescent="0.25">
      <c r="B46" s="859" t="s">
        <v>259</v>
      </c>
      <c r="C46" s="860"/>
      <c r="D46" s="279"/>
      <c r="E46" s="279"/>
      <c r="F46" s="186"/>
    </row>
    <row r="47" spans="1:6" s="58" customFormat="1" ht="15" customHeight="1" x14ac:dyDescent="0.25">
      <c r="B47" s="698" t="s">
        <v>206</v>
      </c>
      <c r="C47" s="698"/>
      <c r="D47" s="279"/>
      <c r="E47" s="279">
        <v>1.4999999999999999E-2</v>
      </c>
      <c r="F47" s="186"/>
    </row>
    <row r="48" spans="1:6" s="58" customFormat="1" ht="15" customHeight="1" x14ac:dyDescent="0.25">
      <c r="A48" s="58" t="s">
        <v>83</v>
      </c>
      <c r="B48" s="865" t="s">
        <v>207</v>
      </c>
      <c r="C48" s="866"/>
      <c r="D48" s="280"/>
      <c r="E48" s="282"/>
      <c r="F48" s="206"/>
    </row>
    <row r="49" spans="1:7" s="58" customFormat="1" ht="15" customHeight="1" x14ac:dyDescent="0.25">
      <c r="A49" s="58" t="s">
        <v>83</v>
      </c>
      <c r="B49" s="865" t="s">
        <v>208</v>
      </c>
      <c r="C49" s="866"/>
      <c r="D49" s="280"/>
      <c r="E49" s="282"/>
      <c r="F49" s="206"/>
    </row>
    <row r="50" spans="1:7" s="58" customFormat="1" ht="8.25" customHeight="1" x14ac:dyDescent="0.25">
      <c r="A50" s="58" t="s">
        <v>83</v>
      </c>
      <c r="B50" s="871"/>
      <c r="C50" s="872"/>
      <c r="D50" s="872"/>
      <c r="E50" s="873"/>
      <c r="F50" s="206"/>
    </row>
    <row r="51" spans="1:7" s="58" customFormat="1" ht="15" customHeight="1" x14ac:dyDescent="0.25">
      <c r="A51" s="58" t="s">
        <v>83</v>
      </c>
      <c r="B51" s="874" t="s">
        <v>512</v>
      </c>
      <c r="C51" s="875"/>
      <c r="D51" s="519">
        <v>3925</v>
      </c>
      <c r="E51" s="283"/>
      <c r="F51" s="206"/>
    </row>
    <row r="52" spans="1:7" s="58" customFormat="1" ht="13.8" x14ac:dyDescent="0.25">
      <c r="B52" s="874" t="s">
        <v>513</v>
      </c>
      <c r="C52" s="875"/>
      <c r="D52" s="215">
        <v>11.65</v>
      </c>
      <c r="E52" s="213"/>
      <c r="F52" s="206"/>
    </row>
    <row r="53" spans="1:7" s="58" customFormat="1" ht="13.8" x14ac:dyDescent="0.25">
      <c r="B53" s="874" t="s">
        <v>514</v>
      </c>
      <c r="C53" s="875"/>
      <c r="D53" s="215">
        <v>11.88</v>
      </c>
      <c r="E53" s="213"/>
      <c r="F53" s="206"/>
    </row>
    <row r="54" spans="1:7" s="58" customFormat="1" ht="13.8" x14ac:dyDescent="0.25">
      <c r="B54" s="514" t="s">
        <v>515</v>
      </c>
      <c r="C54" s="515"/>
      <c r="D54" s="519">
        <v>11.88</v>
      </c>
      <c r="E54" s="213"/>
      <c r="F54" s="206"/>
    </row>
    <row r="55" spans="1:7" s="58" customFormat="1" ht="13.8" x14ac:dyDescent="0.25">
      <c r="B55" s="874" t="s">
        <v>516</v>
      </c>
      <c r="C55" s="875"/>
      <c r="D55" s="284"/>
      <c r="E55" s="213"/>
      <c r="F55" s="206"/>
    </row>
    <row r="56" spans="1:7" s="58" customFormat="1" ht="13.8" x14ac:dyDescent="0.25">
      <c r="B56" s="874" t="s">
        <v>516</v>
      </c>
      <c r="C56" s="875"/>
      <c r="D56" s="284"/>
      <c r="E56" s="213"/>
      <c r="F56" s="206"/>
    </row>
    <row r="57" spans="1:7" s="58" customFormat="1" ht="13.8" x14ac:dyDescent="0.25">
      <c r="B57" s="514" t="s">
        <v>517</v>
      </c>
      <c r="C57" s="515"/>
      <c r="D57" s="284">
        <f>D54*35*52/12</f>
        <v>1801.8000000000002</v>
      </c>
      <c r="E57" s="213"/>
      <c r="F57" s="206"/>
    </row>
    <row r="58" spans="1:7" s="58" customFormat="1" ht="13.8" x14ac:dyDescent="0.25">
      <c r="B58" s="874" t="s">
        <v>518</v>
      </c>
      <c r="C58" s="875"/>
      <c r="D58" s="215">
        <f>1.6*D54*35*52/12</f>
        <v>2882.8800000000006</v>
      </c>
      <c r="E58" s="213"/>
      <c r="F58" s="206"/>
    </row>
    <row r="59" spans="1:7" s="58" customFormat="1" ht="13.8" x14ac:dyDescent="0.25">
      <c r="B59" s="865" t="s">
        <v>519</v>
      </c>
      <c r="C59" s="866"/>
      <c r="D59" s="520">
        <f>2.25*D54*35*52/12</f>
        <v>4054.0500000000006</v>
      </c>
      <c r="E59" s="205"/>
      <c r="F59" s="206" t="s">
        <v>507</v>
      </c>
      <c r="G59" s="521">
        <f>ROUND(2.25*D54*151.67,2)</f>
        <v>4054.14</v>
      </c>
    </row>
    <row r="60" spans="1:7" s="58" customFormat="1" ht="13.8" x14ac:dyDescent="0.25">
      <c r="B60" s="865" t="s">
        <v>520</v>
      </c>
      <c r="C60" s="866"/>
      <c r="D60" s="520">
        <f>3.3*D54*35*52/12</f>
        <v>5945.94</v>
      </c>
      <c r="E60" s="205"/>
      <c r="F60" s="206"/>
      <c r="G60" s="521">
        <f>ROUND(3.3*D54*151.67,2)</f>
        <v>5946.07</v>
      </c>
    </row>
    <row r="61" spans="1:7" s="58" customFormat="1" ht="31.5" customHeight="1" x14ac:dyDescent="0.25">
      <c r="B61" s="881" t="s">
        <v>521</v>
      </c>
      <c r="C61" s="882"/>
      <c r="D61" s="522">
        <v>0.31940000000000002</v>
      </c>
      <c r="E61" s="523">
        <v>0.32340000000000002</v>
      </c>
    </row>
    <row r="62" spans="1:7" s="58" customFormat="1" ht="15" customHeight="1" x14ac:dyDescent="0.25">
      <c r="A62" s="878" t="s">
        <v>508</v>
      </c>
      <c r="B62" s="879"/>
      <c r="C62" s="879"/>
      <c r="D62" s="879"/>
      <c r="E62" s="880"/>
      <c r="F62" s="223"/>
    </row>
    <row r="63" spans="1:7" s="58" customFormat="1" ht="23.25" customHeight="1" x14ac:dyDescent="0.25">
      <c r="B63" s="881" t="s">
        <v>223</v>
      </c>
      <c r="C63" s="882"/>
      <c r="D63" s="285"/>
      <c r="E63" s="286" t="s">
        <v>80</v>
      </c>
      <c r="F63" s="214"/>
    </row>
    <row r="64" spans="1:7" s="58" customFormat="1" ht="17.25" customHeight="1" x14ac:dyDescent="0.25">
      <c r="B64" s="881" t="s">
        <v>221</v>
      </c>
      <c r="C64" s="882"/>
      <c r="D64" s="285"/>
      <c r="E64" s="286" t="s">
        <v>222</v>
      </c>
      <c r="F64" s="214"/>
    </row>
    <row r="65" spans="1:6" s="58" customFormat="1" ht="18" customHeight="1" x14ac:dyDescent="0.25">
      <c r="B65" s="853" t="s">
        <v>213</v>
      </c>
      <c r="C65" s="854"/>
      <c r="D65" s="524">
        <v>7.26</v>
      </c>
      <c r="E65" s="287"/>
      <c r="F65" s="219"/>
    </row>
    <row r="66" spans="1:6" s="58" customFormat="1" ht="15" customHeight="1" x14ac:dyDescent="0.25">
      <c r="B66" s="853" t="s">
        <v>224</v>
      </c>
      <c r="C66" s="854"/>
      <c r="D66" s="524">
        <v>88.8</v>
      </c>
      <c r="E66" s="287"/>
      <c r="F66" s="219"/>
    </row>
    <row r="67" spans="1:6" s="58" customFormat="1" ht="35.25" customHeight="1" x14ac:dyDescent="0.25">
      <c r="B67" s="216"/>
      <c r="D67" s="288"/>
      <c r="E67" s="217"/>
      <c r="F67" s="206"/>
    </row>
    <row r="68" spans="1:6" s="58" customFormat="1" ht="18.75" customHeight="1" x14ac:dyDescent="0.25">
      <c r="B68" s="218"/>
      <c r="C68" s="855" t="s">
        <v>279</v>
      </c>
      <c r="D68" s="855"/>
      <c r="E68" s="856" t="s">
        <v>280</v>
      </c>
      <c r="F68" s="856"/>
    </row>
    <row r="69" spans="1:6" s="58" customFormat="1" ht="18.75" customHeight="1" x14ac:dyDescent="0.25">
      <c r="B69" s="218"/>
      <c r="C69" s="294" t="s">
        <v>273</v>
      </c>
      <c r="D69" s="294" t="s">
        <v>88</v>
      </c>
      <c r="E69" s="294" t="s">
        <v>273</v>
      </c>
      <c r="F69" s="294" t="s">
        <v>88</v>
      </c>
    </row>
    <row r="70" spans="1:6" s="58" customFormat="1" ht="18.75" customHeight="1" x14ac:dyDescent="0.25">
      <c r="B70" s="303" t="s">
        <v>41</v>
      </c>
      <c r="C70" s="295">
        <v>3.15E-2</v>
      </c>
      <c r="D70" s="296">
        <v>4.7199999999999999E-2</v>
      </c>
      <c r="E70" s="295">
        <v>3.15E-2</v>
      </c>
      <c r="F70" s="296">
        <v>4.7199999999999999E-2</v>
      </c>
    </row>
    <row r="71" spans="1:6" s="58" customFormat="1" ht="18.75" customHeight="1" x14ac:dyDescent="0.25">
      <c r="B71" s="303" t="s">
        <v>274</v>
      </c>
      <c r="C71" s="295">
        <v>8.6E-3</v>
      </c>
      <c r="D71" s="295">
        <v>1.29E-2</v>
      </c>
      <c r="E71" s="295">
        <v>8.6E-3</v>
      </c>
      <c r="F71" s="295">
        <v>1.29E-2</v>
      </c>
    </row>
    <row r="72" spans="1:6" s="58" customFormat="1" ht="18.75" customHeight="1" x14ac:dyDescent="0.25">
      <c r="B72" s="303" t="s">
        <v>276</v>
      </c>
      <c r="C72" s="38"/>
      <c r="D72" s="302"/>
      <c r="E72" s="295">
        <v>1.4E-3</v>
      </c>
      <c r="F72" s="295">
        <v>2.0999999999999999E-3</v>
      </c>
    </row>
    <row r="73" spans="1:6" s="58" customFormat="1" ht="35.25" customHeight="1" x14ac:dyDescent="0.25">
      <c r="B73" s="298" t="s">
        <v>281</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87</v>
      </c>
      <c r="F75" s="298" t="s">
        <v>88</v>
      </c>
    </row>
    <row r="76" spans="1:6" s="58" customFormat="1" ht="18.75" customHeight="1" x14ac:dyDescent="0.25">
      <c r="B76" s="303" t="s">
        <v>42</v>
      </c>
      <c r="C76" s="218"/>
      <c r="D76" s="297"/>
      <c r="E76" s="295">
        <v>8.6400000000000005E-2</v>
      </c>
      <c r="F76" s="295">
        <v>0.1295</v>
      </c>
    </row>
    <row r="77" spans="1:6" s="58" customFormat="1" ht="18.75" customHeight="1" x14ac:dyDescent="0.25">
      <c r="B77" s="303" t="s">
        <v>275</v>
      </c>
      <c r="C77" s="218"/>
      <c r="D77" s="297"/>
      <c r="E77" s="295">
        <v>1.0800000000000001E-2</v>
      </c>
      <c r="F77" s="295">
        <v>1.6199999999999999E-2</v>
      </c>
    </row>
    <row r="78" spans="1:6" s="58" customFormat="1" ht="18.75" customHeight="1" x14ac:dyDescent="0.25">
      <c r="B78" s="303" t="s">
        <v>277</v>
      </c>
      <c r="C78" s="218"/>
      <c r="D78" s="297"/>
      <c r="E78" s="295">
        <v>1.4E-3</v>
      </c>
      <c r="F78" s="295">
        <v>2.0999999999999999E-3</v>
      </c>
    </row>
    <row r="79" spans="1:6" s="58" customFormat="1" ht="33" customHeight="1" x14ac:dyDescent="0.25">
      <c r="B79" s="298" t="s">
        <v>282</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23" t="s">
        <v>522</v>
      </c>
      <c r="C82" s="824"/>
      <c r="D82" s="824"/>
      <c r="E82" s="825"/>
      <c r="F82" s="206"/>
    </row>
    <row r="83" spans="2:9" s="58" customFormat="1" ht="42" customHeight="1" x14ac:dyDescent="0.25">
      <c r="B83" s="826" t="s">
        <v>214</v>
      </c>
      <c r="C83" s="828"/>
      <c r="D83" s="77" t="s">
        <v>523</v>
      </c>
      <c r="E83" s="77" t="s">
        <v>509</v>
      </c>
      <c r="F83" s="206"/>
    </row>
    <row r="84" spans="2:9" s="58" customFormat="1" ht="35.25" customHeight="1" x14ac:dyDescent="0.25">
      <c r="B84" s="823" t="s">
        <v>215</v>
      </c>
      <c r="C84" s="825"/>
      <c r="D84" s="292" t="s">
        <v>216</v>
      </c>
      <c r="E84" s="525">
        <v>3.2000000000000001E-2</v>
      </c>
      <c r="F84" s="206"/>
      <c r="I84" s="58">
        <f>50%*2522.52*3/91.25</f>
        <v>41.466082191780821</v>
      </c>
    </row>
    <row r="85" spans="2:9" s="58" customFormat="1" ht="35.25" customHeight="1" x14ac:dyDescent="0.25">
      <c r="B85" s="823" t="s">
        <v>217</v>
      </c>
      <c r="C85" s="825"/>
      <c r="D85" s="292" t="s">
        <v>216</v>
      </c>
      <c r="E85" s="525">
        <v>3.2000000000000001E-2</v>
      </c>
      <c r="F85" s="206"/>
    </row>
    <row r="86" spans="2:9" ht="47.25" customHeight="1" x14ac:dyDescent="0.3">
      <c r="B86" s="829" t="s">
        <v>218</v>
      </c>
      <c r="C86" s="829"/>
      <c r="D86" s="292" t="s">
        <v>510</v>
      </c>
      <c r="E86" s="292" t="s">
        <v>510</v>
      </c>
    </row>
    <row r="87" spans="2:9" ht="35.25" customHeight="1" x14ac:dyDescent="0.3">
      <c r="B87" s="852"/>
      <c r="C87" s="852"/>
      <c r="D87" s="526"/>
    </row>
    <row r="88" spans="2:9" ht="35.25" customHeight="1" x14ac:dyDescent="0.3">
      <c r="B88" t="s">
        <v>219</v>
      </c>
    </row>
    <row r="89" spans="2:9" ht="35.25" customHeight="1" x14ac:dyDescent="0.3">
      <c r="B89" s="58" t="s">
        <v>220</v>
      </c>
    </row>
    <row r="90" spans="2:9" ht="35.25" customHeight="1" x14ac:dyDescent="0.3">
      <c r="C90" s="58"/>
      <c r="D90" s="288"/>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23" t="s">
        <v>727</v>
      </c>
      <c r="B2" s="824"/>
      <c r="C2" s="824"/>
      <c r="D2" s="824"/>
      <c r="E2" s="824"/>
      <c r="F2" s="824"/>
      <c r="G2" s="825"/>
    </row>
    <row r="3" spans="1:9" x14ac:dyDescent="0.25">
      <c r="A3" s="62"/>
      <c r="B3" s="62"/>
      <c r="C3" s="62"/>
      <c r="D3" s="62"/>
      <c r="E3" s="62"/>
      <c r="F3" s="62"/>
      <c r="G3" s="62"/>
    </row>
    <row r="6" spans="1:9" x14ac:dyDescent="0.25">
      <c r="A6" s="829" t="s">
        <v>728</v>
      </c>
      <c r="B6" s="829"/>
      <c r="C6" s="572">
        <f>+'TR Matrice Cotisations '!E5</f>
        <v>0</v>
      </c>
    </row>
    <row r="7" spans="1:9" x14ac:dyDescent="0.25">
      <c r="C7" s="37"/>
    </row>
    <row r="8" spans="1:9" x14ac:dyDescent="0.25">
      <c r="A8" s="829" t="s">
        <v>729</v>
      </c>
      <c r="B8" s="829"/>
      <c r="C8" s="573">
        <f>+'TR Matrice Cotisations '!E7</f>
        <v>0</v>
      </c>
    </row>
    <row r="9" spans="1:9" x14ac:dyDescent="0.25">
      <c r="C9" s="37"/>
    </row>
    <row r="10" spans="1:9" x14ac:dyDescent="0.25">
      <c r="A10" s="829" t="s">
        <v>730</v>
      </c>
      <c r="B10" s="829"/>
      <c r="C10" s="573">
        <f>+'TR Matrice Cotisations '!E9</f>
        <v>22</v>
      </c>
      <c r="D10" s="776"/>
      <c r="E10" s="777"/>
      <c r="F10" s="777"/>
      <c r="G10" s="777"/>
    </row>
    <row r="12" spans="1:9" x14ac:dyDescent="0.25">
      <c r="D12" s="905" t="s">
        <v>731</v>
      </c>
      <c r="E12" s="905"/>
      <c r="F12" s="905"/>
      <c r="G12" s="905"/>
    </row>
    <row r="14" spans="1:9" ht="22.8" x14ac:dyDescent="0.25">
      <c r="A14" s="829" t="s">
        <v>732</v>
      </c>
      <c r="B14" s="829"/>
      <c r="C14" s="565" t="str">
        <f>IF(C8&lt;=60%*C6,"Régle respectée","Régle non respectée")</f>
        <v>Régle respectée</v>
      </c>
      <c r="D14" s="566">
        <f>IF(C8-60%*C6&lt;0,0,C8)</f>
        <v>0</v>
      </c>
      <c r="E14" s="898" t="s">
        <v>733</v>
      </c>
      <c r="F14" s="902"/>
      <c r="G14" s="829" t="s">
        <v>734</v>
      </c>
    </row>
    <row r="15" spans="1:9" x14ac:dyDescent="0.25">
      <c r="C15" s="62"/>
      <c r="D15" s="37"/>
      <c r="G15" s="829"/>
      <c r="H15" s="829" t="s">
        <v>735</v>
      </c>
      <c r="I15" s="829"/>
    </row>
    <row r="16" spans="1:9" ht="22.8" x14ac:dyDescent="0.25">
      <c r="A16" s="898" t="s">
        <v>736</v>
      </c>
      <c r="B16" s="898"/>
      <c r="C16" s="565" t="str">
        <f>IF(C8&gt;=50%*C6,"Régle respectée","Régle non respectée ")</f>
        <v>Régle respectée</v>
      </c>
      <c r="D16" s="566">
        <f>IF(C16="Régle respectée",0,C8)</f>
        <v>0</v>
      </c>
      <c r="E16" s="898" t="s">
        <v>733</v>
      </c>
      <c r="F16" s="902"/>
      <c r="G16" s="829"/>
      <c r="H16" s="829">
        <f>MAX(D14,D16,D18)</f>
        <v>0</v>
      </c>
      <c r="I16" s="829"/>
    </row>
    <row r="17" spans="1:7" x14ac:dyDescent="0.25">
      <c r="C17" s="62"/>
      <c r="D17" s="37"/>
      <c r="G17" s="829"/>
    </row>
    <row r="18" spans="1:7" ht="26.4" x14ac:dyDescent="0.25">
      <c r="A18" s="903" t="s">
        <v>737</v>
      </c>
      <c r="B18" s="903"/>
      <c r="C18" s="567" t="str">
        <f>IF(C8&gt;7.26,"Régle non respectée","Régle respectée ")</f>
        <v xml:space="preserve">Régle respectée </v>
      </c>
      <c r="D18" s="568">
        <f>IF(C8&lt;=7.26,0,C8-7.26)</f>
        <v>0</v>
      </c>
      <c r="E18" s="903" t="s">
        <v>738</v>
      </c>
      <c r="F18" s="904"/>
      <c r="G18" s="829"/>
    </row>
    <row r="20" spans="1:7" hidden="1" x14ac:dyDescent="0.25"/>
    <row r="21" spans="1:7" x14ac:dyDescent="0.25">
      <c r="A21" s="829" t="s">
        <v>739</v>
      </c>
      <c r="B21" s="829"/>
      <c r="C21" s="37">
        <f>C6-C8</f>
        <v>0</v>
      </c>
    </row>
    <row r="23" spans="1:7" x14ac:dyDescent="0.25">
      <c r="A23" s="829" t="s">
        <v>740</v>
      </c>
      <c r="B23" s="829"/>
      <c r="C23" s="37">
        <f>C10</f>
        <v>22</v>
      </c>
    </row>
    <row r="25" spans="1:7" x14ac:dyDescent="0.25">
      <c r="A25" s="829" t="s">
        <v>741</v>
      </c>
      <c r="B25" s="829"/>
      <c r="C25" s="37">
        <f>C8*C23</f>
        <v>0</v>
      </c>
    </row>
    <row r="27" spans="1:7" x14ac:dyDescent="0.25">
      <c r="A27" s="829" t="s">
        <v>742</v>
      </c>
      <c r="B27" s="829"/>
      <c r="C27" s="37">
        <f>C21*C23</f>
        <v>0</v>
      </c>
    </row>
    <row r="29" spans="1:7" x14ac:dyDescent="0.25">
      <c r="A29" s="898" t="s">
        <v>743</v>
      </c>
      <c r="B29" s="898"/>
      <c r="C29" s="899">
        <f>MAX(D14,D16,D18)*C23</f>
        <v>0</v>
      </c>
    </row>
    <row r="30" spans="1:7" x14ac:dyDescent="0.25">
      <c r="A30" s="898"/>
      <c r="B30" s="898"/>
      <c r="C30" s="900"/>
    </row>
    <row r="31" spans="1:7" x14ac:dyDescent="0.25">
      <c r="A31" s="898"/>
      <c r="B31" s="898"/>
      <c r="C31" s="900"/>
    </row>
    <row r="32" spans="1:7" hidden="1" x14ac:dyDescent="0.25">
      <c r="A32" s="898"/>
      <c r="B32" s="898"/>
      <c r="C32" s="901"/>
    </row>
    <row r="34" spans="3:3" x14ac:dyDescent="0.25">
      <c r="C34" s="852"/>
    </row>
    <row r="35" spans="3:3" x14ac:dyDescent="0.25">
      <c r="C35" s="852"/>
    </row>
    <row r="36" spans="3:3" x14ac:dyDescent="0.25">
      <c r="C36" s="852"/>
    </row>
    <row r="37" spans="3:3" x14ac:dyDescent="0.25">
      <c r="C37" s="852"/>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9" sqref="E9"/>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08" t="s">
        <v>744</v>
      </c>
      <c r="C1" s="909"/>
      <c r="D1" s="909"/>
      <c r="E1" s="909"/>
      <c r="F1" s="909"/>
      <c r="G1" s="909"/>
      <c r="H1" s="909"/>
      <c r="I1" s="910"/>
    </row>
    <row r="3" spans="2:9" hidden="1" x14ac:dyDescent="0.3"/>
    <row r="4" spans="2:9" x14ac:dyDescent="0.3">
      <c r="E4" s="189"/>
      <c r="G4" s="189"/>
    </row>
    <row r="5" spans="2:9" x14ac:dyDescent="0.3">
      <c r="B5" s="907" t="s">
        <v>728</v>
      </c>
      <c r="C5" s="907"/>
      <c r="E5" s="569">
        <f>+'Masque de Saisie'!E48+'Masque de Saisie'!E49</f>
        <v>0</v>
      </c>
      <c r="G5" s="189"/>
    </row>
    <row r="6" spans="2:9" x14ac:dyDescent="0.3">
      <c r="E6" s="218"/>
      <c r="G6" s="189"/>
    </row>
    <row r="7" spans="2:9" x14ac:dyDescent="0.3">
      <c r="B7" s="907" t="s">
        <v>729</v>
      </c>
      <c r="C7" s="907"/>
      <c r="E7" s="570">
        <f>+'Masque de Saisie'!E49</f>
        <v>0</v>
      </c>
      <c r="G7" s="189"/>
    </row>
    <row r="8" spans="2:9" x14ac:dyDescent="0.3">
      <c r="E8" s="218"/>
      <c r="G8" s="189"/>
    </row>
    <row r="9" spans="2:9" x14ac:dyDescent="0.3">
      <c r="B9" s="907" t="s">
        <v>730</v>
      </c>
      <c r="C9" s="907"/>
      <c r="E9" s="571">
        <v>22</v>
      </c>
      <c r="G9" s="911" t="s">
        <v>745</v>
      </c>
      <c r="H9" s="911"/>
    </row>
    <row r="10" spans="2:9" x14ac:dyDescent="0.3">
      <c r="E10" s="189"/>
      <c r="G10" s="189"/>
    </row>
    <row r="11" spans="2:9" ht="62.4" x14ac:dyDescent="0.3">
      <c r="E11" s="189"/>
      <c r="G11" s="38" t="s">
        <v>746</v>
      </c>
      <c r="H11" s="38" t="s">
        <v>747</v>
      </c>
    </row>
    <row r="12" spans="2:9" x14ac:dyDescent="0.3">
      <c r="E12" s="189"/>
      <c r="G12" s="189"/>
    </row>
    <row r="13" spans="2:9" ht="31.2" x14ac:dyDescent="0.3">
      <c r="B13" s="907" t="s">
        <v>748</v>
      </c>
      <c r="C13" s="907"/>
      <c r="E13" s="294" t="str">
        <f>IF(E7&lt;=60%*E5,"Régle respectée","Régle non respectée")</f>
        <v>Régle respectée</v>
      </c>
      <c r="G13" s="38">
        <f>IF(E7-60%*E5&lt;0,0,E7-60%*E5)</f>
        <v>0</v>
      </c>
      <c r="H13" s="907">
        <f>MAX(G13,G15,G17)</f>
        <v>0</v>
      </c>
    </row>
    <row r="14" spans="2:9" x14ac:dyDescent="0.3">
      <c r="E14" s="218"/>
      <c r="G14" s="38"/>
      <c r="H14" s="907"/>
    </row>
    <row r="15" spans="2:9" ht="31.2" x14ac:dyDescent="0.3">
      <c r="B15" s="907" t="s">
        <v>749</v>
      </c>
      <c r="C15" s="907"/>
      <c r="E15" s="294" t="str">
        <f>IF(E7&gt;=50%*E5,"Régle respectée","Régle non respectée ")</f>
        <v>Régle respectée</v>
      </c>
      <c r="G15" s="38">
        <f>IF(E15="Régle respectée",0,50%*E5-E7)</f>
        <v>0</v>
      </c>
      <c r="H15" s="907"/>
    </row>
    <row r="16" spans="2:9" x14ac:dyDescent="0.3">
      <c r="E16" s="218"/>
      <c r="G16" s="38"/>
      <c r="H16" s="907"/>
    </row>
    <row r="17" spans="2:8" ht="31.2" x14ac:dyDescent="0.3">
      <c r="B17" s="907" t="s">
        <v>750</v>
      </c>
      <c r="C17" s="907"/>
      <c r="E17" s="294" t="str">
        <f>IF(E7&gt;7.26,"Régle non respectée","Régle respectée ")</f>
        <v xml:space="preserve">Régle respectée </v>
      </c>
      <c r="G17" s="38">
        <f>IF(E7&lt;=7.26,0,E7-7.26)</f>
        <v>0</v>
      </c>
      <c r="H17" s="907"/>
    </row>
    <row r="18" spans="2:8" x14ac:dyDescent="0.3">
      <c r="E18" s="189"/>
      <c r="G18" s="189"/>
    </row>
    <row r="19" spans="2:8" x14ac:dyDescent="0.3">
      <c r="B19" s="907" t="s">
        <v>739</v>
      </c>
      <c r="C19" s="907"/>
      <c r="E19" s="38">
        <f>E5-E7</f>
        <v>0</v>
      </c>
      <c r="G19" s="189"/>
    </row>
    <row r="20" spans="2:8" x14ac:dyDescent="0.3">
      <c r="E20" s="189"/>
      <c r="G20" s="189"/>
    </row>
    <row r="21" spans="2:8" x14ac:dyDescent="0.3">
      <c r="B21" s="907" t="s">
        <v>740</v>
      </c>
      <c r="C21" s="907"/>
      <c r="E21" s="38">
        <f>E9</f>
        <v>22</v>
      </c>
      <c r="G21" s="189"/>
    </row>
    <row r="22" spans="2:8" x14ac:dyDescent="0.3">
      <c r="E22" s="189"/>
      <c r="G22" s="189"/>
    </row>
    <row r="23" spans="2:8" x14ac:dyDescent="0.3">
      <c r="B23" s="907" t="s">
        <v>741</v>
      </c>
      <c r="C23" s="907"/>
      <c r="E23" s="38">
        <f>E7*E21</f>
        <v>0</v>
      </c>
      <c r="G23" s="189"/>
    </row>
    <row r="24" spans="2:8" x14ac:dyDescent="0.3">
      <c r="E24" s="189"/>
      <c r="G24" s="189"/>
    </row>
    <row r="25" spans="2:8" x14ac:dyDescent="0.3">
      <c r="B25" s="907" t="s">
        <v>742</v>
      </c>
      <c r="C25" s="907"/>
      <c r="E25" s="38">
        <f>E19*E21</f>
        <v>0</v>
      </c>
      <c r="G25" s="189"/>
    </row>
    <row r="26" spans="2:8" x14ac:dyDescent="0.3">
      <c r="E26" s="189"/>
      <c r="G26" s="189"/>
    </row>
    <row r="27" spans="2:8" x14ac:dyDescent="0.3">
      <c r="B27" s="907" t="s">
        <v>751</v>
      </c>
      <c r="C27" s="907"/>
      <c r="E27" s="189"/>
      <c r="G27" s="189"/>
    </row>
    <row r="28" spans="2:8" x14ac:dyDescent="0.3">
      <c r="B28" s="907"/>
      <c r="C28" s="907"/>
      <c r="E28" s="907">
        <f>MAX(G17,G15,G13)*E21</f>
        <v>0</v>
      </c>
      <c r="G28" s="189"/>
    </row>
    <row r="29" spans="2:8" x14ac:dyDescent="0.3">
      <c r="B29" s="907"/>
      <c r="C29" s="907"/>
      <c r="E29" s="907"/>
      <c r="G29" s="189"/>
    </row>
    <row r="30" spans="2:8" x14ac:dyDescent="0.3">
      <c r="B30" s="907"/>
      <c r="C30" s="907"/>
      <c r="E30" s="189"/>
      <c r="G30" s="189"/>
    </row>
    <row r="31" spans="2:8" x14ac:dyDescent="0.3">
      <c r="E31" s="189"/>
      <c r="G31" s="189"/>
    </row>
    <row r="32" spans="2:8" x14ac:dyDescent="0.3">
      <c r="E32" s="906"/>
      <c r="G32" s="189"/>
    </row>
    <row r="33" spans="5:7" x14ac:dyDescent="0.3">
      <c r="E33" s="906"/>
      <c r="G33" s="189"/>
    </row>
    <row r="34" spans="5:7" x14ac:dyDescent="0.3">
      <c r="E34" s="906"/>
      <c r="G34" s="189"/>
    </row>
    <row r="35" spans="5:7" x14ac:dyDescent="0.3">
      <c r="E35" s="906"/>
      <c r="G35" s="189"/>
    </row>
    <row r="36" spans="5:7" x14ac:dyDescent="0.3">
      <c r="E36" s="189"/>
      <c r="G36" s="189"/>
    </row>
    <row r="37" spans="5:7" x14ac:dyDescent="0.3">
      <c r="E37" s="189"/>
      <c r="G37" s="189"/>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topLeftCell="A8" workbookViewId="0">
      <selection activeCell="I16" sqref="I16:I17"/>
    </sheetView>
  </sheetViews>
  <sheetFormatPr baseColWidth="10" defaultColWidth="11.44140625" defaultRowHeight="13.8" x14ac:dyDescent="0.25"/>
  <cols>
    <col min="1" max="1" width="6" style="58" customWidth="1"/>
    <col min="2" max="3" width="13.88671875" style="58" customWidth="1"/>
    <col min="4" max="4" width="16.33203125" style="58" customWidth="1"/>
    <col min="5" max="9" width="13.88671875" style="58" customWidth="1"/>
    <col min="10" max="11" width="8.44140625" style="58" customWidth="1"/>
    <col min="12" max="12" width="4.5546875" style="58" customWidth="1"/>
    <col min="13" max="16384" width="11.44140625" style="58"/>
  </cols>
  <sheetData>
    <row r="1" spans="1:13" s="574" customFormat="1" ht="15.6" x14ac:dyDescent="0.25">
      <c r="B1" s="912" t="s">
        <v>752</v>
      </c>
      <c r="C1" s="912"/>
      <c r="D1" s="912"/>
      <c r="E1" s="912"/>
      <c r="F1" s="912"/>
      <c r="G1" s="912"/>
      <c r="H1" s="912"/>
      <c r="I1" s="912"/>
      <c r="J1" s="912"/>
      <c r="K1" s="912"/>
      <c r="L1" s="912"/>
      <c r="M1" s="912"/>
    </row>
    <row r="2" spans="1:13" s="574" customFormat="1" ht="22.8" customHeight="1" x14ac:dyDescent="0.25">
      <c r="B2" s="913" t="s">
        <v>753</v>
      </c>
      <c r="C2" s="913"/>
      <c r="D2" s="913"/>
      <c r="E2" s="913"/>
      <c r="F2" s="913"/>
      <c r="G2" s="913"/>
      <c r="H2" s="913"/>
      <c r="I2" s="913"/>
      <c r="J2" s="913"/>
      <c r="K2" s="913"/>
      <c r="L2" s="913"/>
      <c r="M2" s="913"/>
    </row>
    <row r="3" spans="1:13" x14ac:dyDescent="0.25">
      <c r="B3" s="309" t="s">
        <v>264</v>
      </c>
      <c r="C3" s="309" t="s">
        <v>226</v>
      </c>
      <c r="D3" s="309" t="s">
        <v>265</v>
      </c>
      <c r="E3" s="309" t="s">
        <v>266</v>
      </c>
      <c r="F3" s="309" t="s">
        <v>267</v>
      </c>
      <c r="G3" s="309" t="s">
        <v>268</v>
      </c>
      <c r="H3" s="309"/>
      <c r="I3" s="309" t="s">
        <v>296</v>
      </c>
      <c r="J3" s="309" t="s">
        <v>297</v>
      </c>
      <c r="K3" s="309" t="s">
        <v>298</v>
      </c>
      <c r="L3" s="37">
        <v>1</v>
      </c>
    </row>
    <row r="4" spans="1:13" x14ac:dyDescent="0.25">
      <c r="B4" s="916" t="s">
        <v>299</v>
      </c>
      <c r="C4" s="916"/>
      <c r="D4" s="916"/>
      <c r="E4" s="561">
        <f>IF(E6&gt;=E11,0.3193,0.3194)</f>
        <v>0.31940000000000002</v>
      </c>
      <c r="F4" s="374" t="s">
        <v>300</v>
      </c>
      <c r="L4" s="37">
        <v>2</v>
      </c>
    </row>
    <row r="5" spans="1:13" x14ac:dyDescent="0.25">
      <c r="B5" s="916" t="s">
        <v>301</v>
      </c>
      <c r="C5" s="916"/>
      <c r="D5" s="916"/>
      <c r="E5" s="563">
        <f>IF(E6&lt;E11,0.3234,0.3233)</f>
        <v>0.32340000000000002</v>
      </c>
      <c r="F5" s="309" t="s">
        <v>300</v>
      </c>
      <c r="L5" s="37">
        <v>3</v>
      </c>
    </row>
    <row r="6" spans="1:13" x14ac:dyDescent="0.25">
      <c r="B6" s="916" t="s">
        <v>724</v>
      </c>
      <c r="C6" s="916"/>
      <c r="D6" s="916"/>
      <c r="E6" s="559">
        <f>'BP FORMAT JUILLET 2023'!H10</f>
        <v>45658</v>
      </c>
      <c r="F6" s="60"/>
      <c r="L6" s="37"/>
    </row>
    <row r="7" spans="1:13" x14ac:dyDescent="0.25">
      <c r="B7" s="916" t="s">
        <v>302</v>
      </c>
      <c r="C7" s="916"/>
      <c r="D7" s="916"/>
      <c r="E7" s="377">
        <f>'BP VERSION JANVIER 2023'!B9</f>
        <v>15</v>
      </c>
      <c r="F7" s="60"/>
      <c r="L7" s="37">
        <v>4</v>
      </c>
    </row>
    <row r="8" spans="1:13" x14ac:dyDescent="0.25">
      <c r="B8" s="916" t="s">
        <v>303</v>
      </c>
      <c r="C8" s="916"/>
      <c r="D8" s="916"/>
      <c r="E8" s="377">
        <f>'BP VERSION JANVIER 2023'!D10</f>
        <v>11.88</v>
      </c>
      <c r="F8" s="914" t="s">
        <v>767</v>
      </c>
      <c r="G8" s="915"/>
      <c r="H8" s="915"/>
      <c r="I8" s="915"/>
      <c r="L8" s="37">
        <v>5</v>
      </c>
    </row>
    <row r="9" spans="1:13" x14ac:dyDescent="0.25">
      <c r="B9" s="916" t="s">
        <v>304</v>
      </c>
      <c r="C9" s="916"/>
      <c r="D9" s="916"/>
      <c r="E9" s="377">
        <f>'BP VERSION JANVIER 2023'!B10</f>
        <v>151.66999999999999</v>
      </c>
      <c r="F9" s="60"/>
      <c r="L9" s="37">
        <v>6</v>
      </c>
    </row>
    <row r="10" spans="1:13" x14ac:dyDescent="0.25">
      <c r="B10" s="916" t="s">
        <v>305</v>
      </c>
      <c r="C10" s="916"/>
      <c r="D10" s="916"/>
      <c r="E10" s="560">
        <f>'BP VERSION JANVIER 2023'!J33</f>
        <v>6000</v>
      </c>
      <c r="F10" s="60"/>
      <c r="L10" s="37"/>
    </row>
    <row r="11" spans="1:13" x14ac:dyDescent="0.25">
      <c r="B11" s="916" t="s">
        <v>725</v>
      </c>
      <c r="C11" s="916"/>
      <c r="D11" s="916"/>
      <c r="E11" s="498">
        <v>45778</v>
      </c>
      <c r="L11" s="37">
        <v>7</v>
      </c>
    </row>
    <row r="12" spans="1:13" ht="30.75" customHeight="1" x14ac:dyDescent="0.25">
      <c r="B12" s="917" t="s">
        <v>306</v>
      </c>
      <c r="C12" s="917"/>
      <c r="D12" s="917"/>
      <c r="E12" s="917"/>
      <c r="F12" s="917"/>
      <c r="G12" s="917"/>
      <c r="H12" s="917"/>
      <c r="I12" s="917"/>
      <c r="J12" s="917"/>
      <c r="K12" s="918"/>
      <c r="L12" s="37">
        <v>8</v>
      </c>
    </row>
    <row r="13" spans="1:13" ht="30.75" customHeight="1" x14ac:dyDescent="0.25">
      <c r="A13" s="206"/>
      <c r="B13" s="899" t="s">
        <v>305</v>
      </c>
      <c r="C13" s="899" t="s">
        <v>307</v>
      </c>
      <c r="D13" s="899" t="s">
        <v>14</v>
      </c>
      <c r="E13" s="37" t="s">
        <v>308</v>
      </c>
      <c r="F13" s="829" t="s">
        <v>309</v>
      </c>
      <c r="G13" s="829" t="s">
        <v>310</v>
      </c>
      <c r="H13" s="829" t="s">
        <v>311</v>
      </c>
      <c r="I13" s="829" t="s">
        <v>838</v>
      </c>
      <c r="J13" s="829" t="s">
        <v>312</v>
      </c>
      <c r="K13" s="823"/>
      <c r="L13" s="37">
        <v>9</v>
      </c>
    </row>
    <row r="14" spans="1:13" ht="30.75" customHeight="1" x14ac:dyDescent="0.25">
      <c r="B14" s="900"/>
      <c r="C14" s="900"/>
      <c r="D14" s="900"/>
      <c r="E14" s="900" t="s">
        <v>313</v>
      </c>
      <c r="F14" s="829"/>
      <c r="G14" s="829"/>
      <c r="H14" s="829"/>
      <c r="I14" s="829"/>
      <c r="J14" s="829"/>
      <c r="K14" s="823"/>
      <c r="L14" s="37">
        <v>10</v>
      </c>
    </row>
    <row r="15" spans="1:13" ht="30.75" customHeight="1" x14ac:dyDescent="0.25">
      <c r="B15" s="901"/>
      <c r="C15" s="901"/>
      <c r="D15" s="901"/>
      <c r="E15" s="901"/>
      <c r="F15" s="829"/>
      <c r="G15" s="829"/>
      <c r="H15" s="829"/>
      <c r="I15" s="829"/>
      <c r="J15" s="829"/>
      <c r="K15" s="823"/>
      <c r="L15" s="37">
        <v>11</v>
      </c>
    </row>
    <row r="16" spans="1:13" ht="30.75" customHeight="1" x14ac:dyDescent="0.25">
      <c r="B16" s="900">
        <f>E10</f>
        <v>6000</v>
      </c>
      <c r="C16" s="900">
        <f>E9</f>
        <v>151.66999999999999</v>
      </c>
      <c r="D16" s="900">
        <f>E8</f>
        <v>11.88</v>
      </c>
      <c r="E16" s="900">
        <f>1.6*D16*C16</f>
        <v>2882.9433600000002</v>
      </c>
      <c r="F16" s="900">
        <f>E16/B16</f>
        <v>0.48049056000000001</v>
      </c>
      <c r="G16" s="900">
        <f>IF(F16&lt;=1,0,F16-1)</f>
        <v>0</v>
      </c>
      <c r="H16" s="919">
        <f>ROUND(IF(E7&lt;50,E4*G16/0.6,E5*G16/0.6),4)</f>
        <v>0</v>
      </c>
      <c r="I16" s="919">
        <f>IF(E7&gt;50,MIN(H16,E5),MIN(H16,E4))</f>
        <v>0</v>
      </c>
      <c r="J16" s="920">
        <f>ROUND(I16*B16,2)</f>
        <v>0</v>
      </c>
      <c r="K16" s="921"/>
      <c r="L16" s="37">
        <v>12</v>
      </c>
    </row>
    <row r="17" spans="1:12" ht="30.75" customHeight="1" x14ac:dyDescent="0.25">
      <c r="B17" s="901"/>
      <c r="C17" s="901"/>
      <c r="D17" s="901"/>
      <c r="E17" s="901"/>
      <c r="F17" s="901"/>
      <c r="G17" s="901"/>
      <c r="H17" s="901"/>
      <c r="I17" s="901"/>
      <c r="J17" s="922"/>
      <c r="K17" s="923"/>
      <c r="L17" s="37">
        <v>13</v>
      </c>
    </row>
    <row r="18" spans="1:12" ht="29.25" customHeight="1" x14ac:dyDescent="0.25">
      <c r="A18" s="206"/>
      <c r="B18" s="852"/>
      <c r="C18" s="852"/>
      <c r="D18" s="852"/>
      <c r="E18" s="62"/>
      <c r="F18" s="852"/>
      <c r="G18" s="852"/>
      <c r="H18" s="62"/>
      <c r="I18" s="852"/>
      <c r="J18" s="852"/>
      <c r="K18" s="852"/>
      <c r="L18" s="62"/>
    </row>
    <row r="19" spans="1:12" ht="29.25" customHeight="1" x14ac:dyDescent="0.25">
      <c r="B19" s="852"/>
      <c r="C19" s="852"/>
      <c r="D19" s="852"/>
      <c r="E19" s="852"/>
      <c r="F19" s="852"/>
      <c r="G19" s="852"/>
      <c r="H19" s="62"/>
      <c r="I19" s="852"/>
      <c r="J19" s="852"/>
      <c r="K19" s="852"/>
      <c r="L19" s="62"/>
    </row>
    <row r="20" spans="1:12" ht="29.25" customHeight="1" x14ac:dyDescent="0.25">
      <c r="B20" s="852"/>
      <c r="C20" s="852"/>
      <c r="D20" s="852"/>
      <c r="E20" s="852"/>
      <c r="F20" s="852"/>
      <c r="G20" s="852"/>
      <c r="H20" s="62"/>
      <c r="I20" s="852"/>
      <c r="J20" s="852"/>
      <c r="K20" s="852"/>
      <c r="L20" s="62"/>
    </row>
    <row r="21" spans="1:12" ht="29.25" customHeight="1" x14ac:dyDescent="0.25">
      <c r="B21" s="852"/>
      <c r="C21" s="852"/>
      <c r="D21" s="852"/>
      <c r="E21" s="852"/>
      <c r="F21" s="852"/>
      <c r="G21" s="852"/>
      <c r="H21" s="62"/>
      <c r="I21" s="852"/>
      <c r="J21" s="921"/>
      <c r="K21" s="921"/>
      <c r="L21" s="62"/>
    </row>
    <row r="22" spans="1:12" ht="29.25" customHeight="1" x14ac:dyDescent="0.25">
      <c r="B22" s="852"/>
      <c r="C22" s="852"/>
      <c r="D22" s="852"/>
      <c r="E22" s="852"/>
      <c r="F22" s="852"/>
      <c r="G22" s="852"/>
      <c r="H22" s="62"/>
      <c r="I22" s="852"/>
      <c r="J22" s="921"/>
      <c r="K22" s="921"/>
      <c r="L22" s="62"/>
    </row>
  </sheetData>
  <mergeCells count="46">
    <mergeCell ref="G21:G22"/>
    <mergeCell ref="I21:I22"/>
    <mergeCell ref="J21:K22"/>
    <mergeCell ref="E19:E20"/>
    <mergeCell ref="B21:B22"/>
    <mergeCell ref="C21:C22"/>
    <mergeCell ref="D21:D22"/>
    <mergeCell ref="E21:E22"/>
    <mergeCell ref="F21:F22"/>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topLeftCell="A7" zoomScale="110" zoomScaleNormal="110" workbookViewId="0">
      <selection activeCell="I11" sqref="I11"/>
    </sheetView>
  </sheetViews>
  <sheetFormatPr baseColWidth="10" defaultColWidth="11.44140625" defaultRowHeight="13.8" x14ac:dyDescent="0.25"/>
  <cols>
    <col min="1" max="1" width="6" style="58" customWidth="1"/>
    <col min="2" max="3" width="13.88671875" style="58" customWidth="1"/>
    <col min="4" max="4" width="19" style="58" customWidth="1"/>
    <col min="5" max="9" width="13.88671875" style="58" customWidth="1"/>
    <col min="10" max="11" width="8.44140625" style="58" customWidth="1"/>
    <col min="12" max="12" width="4.5546875" style="58" customWidth="1"/>
    <col min="13" max="16384" width="11.44140625" style="58"/>
  </cols>
  <sheetData>
    <row r="1" spans="1:13" s="574" customFormat="1" ht="15.6" x14ac:dyDescent="0.25">
      <c r="B1" s="912" t="s">
        <v>752</v>
      </c>
      <c r="C1" s="912"/>
      <c r="D1" s="912"/>
      <c r="E1" s="912"/>
      <c r="F1" s="912"/>
      <c r="G1" s="912"/>
      <c r="H1" s="912"/>
      <c r="I1" s="912"/>
      <c r="J1" s="912"/>
      <c r="K1" s="912"/>
      <c r="L1" s="912"/>
      <c r="M1" s="912"/>
    </row>
    <row r="2" spans="1:13" s="574" customFormat="1" ht="22.8" customHeight="1" x14ac:dyDescent="0.25">
      <c r="B2" s="913" t="s">
        <v>753</v>
      </c>
      <c r="C2" s="913"/>
      <c r="D2" s="913"/>
      <c r="E2" s="913"/>
      <c r="F2" s="913"/>
      <c r="G2" s="913"/>
      <c r="H2" s="913"/>
      <c r="I2" s="913"/>
      <c r="J2" s="913"/>
      <c r="K2" s="913"/>
      <c r="L2" s="913"/>
      <c r="M2" s="913"/>
    </row>
    <row r="3" spans="1:13" x14ac:dyDescent="0.25">
      <c r="B3" s="309" t="s">
        <v>264</v>
      </c>
      <c r="C3" s="309" t="s">
        <v>226</v>
      </c>
      <c r="D3" s="309" t="s">
        <v>265</v>
      </c>
      <c r="E3" s="309" t="s">
        <v>266</v>
      </c>
      <c r="F3" s="309" t="s">
        <v>267</v>
      </c>
      <c r="G3" s="309" t="s">
        <v>268</v>
      </c>
      <c r="H3" s="309"/>
      <c r="I3" s="309" t="s">
        <v>296</v>
      </c>
      <c r="J3" s="309" t="s">
        <v>297</v>
      </c>
      <c r="K3" s="309" t="s">
        <v>298</v>
      </c>
      <c r="L3" s="37">
        <v>1</v>
      </c>
    </row>
    <row r="4" spans="1:13" x14ac:dyDescent="0.25">
      <c r="B4" s="831" t="s">
        <v>299</v>
      </c>
      <c r="C4" s="831"/>
      <c r="D4" s="831"/>
      <c r="E4" s="309">
        <f>IF(E6&gt;=E11,0.3193,0.3194)</f>
        <v>0.31940000000000002</v>
      </c>
      <c r="F4" s="375" t="s">
        <v>300</v>
      </c>
      <c r="L4" s="37">
        <v>2</v>
      </c>
    </row>
    <row r="5" spans="1:13" x14ac:dyDescent="0.25">
      <c r="B5" s="831" t="s">
        <v>301</v>
      </c>
      <c r="C5" s="831"/>
      <c r="D5" s="831"/>
      <c r="E5" s="309">
        <f>IF(E6&lt;E11,0.3234,0.3233)</f>
        <v>0.32340000000000002</v>
      </c>
      <c r="F5" s="308" t="s">
        <v>300</v>
      </c>
      <c r="L5" s="37">
        <v>3</v>
      </c>
    </row>
    <row r="6" spans="1:13" x14ac:dyDescent="0.25">
      <c r="B6" s="831" t="s">
        <v>726</v>
      </c>
      <c r="C6" s="831"/>
      <c r="D6" s="831"/>
      <c r="E6" s="562">
        <f>'BP FORMAT JUILLET 2023'!H10</f>
        <v>45658</v>
      </c>
      <c r="F6" s="60"/>
      <c r="L6" s="37"/>
    </row>
    <row r="7" spans="1:13" x14ac:dyDescent="0.25">
      <c r="B7" s="831" t="s">
        <v>302</v>
      </c>
      <c r="C7" s="831"/>
      <c r="D7" s="831"/>
      <c r="E7" s="377">
        <f>'BP FORMAT JUILLET 2023'!B9</f>
        <v>15</v>
      </c>
      <c r="F7" s="60"/>
      <c r="L7" s="37">
        <v>4</v>
      </c>
    </row>
    <row r="8" spans="1:13" x14ac:dyDescent="0.25">
      <c r="B8" s="831" t="s">
        <v>303</v>
      </c>
      <c r="C8" s="831"/>
      <c r="D8" s="831"/>
      <c r="E8" s="377">
        <f>'BP FORMAT JUILLET 2023'!D10</f>
        <v>11.88</v>
      </c>
      <c r="F8" s="914" t="s">
        <v>768</v>
      </c>
      <c r="G8" s="915"/>
      <c r="H8" s="915"/>
      <c r="I8" s="915"/>
      <c r="L8" s="37">
        <v>5</v>
      </c>
    </row>
    <row r="9" spans="1:13" x14ac:dyDescent="0.25">
      <c r="B9" s="831" t="s">
        <v>304</v>
      </c>
      <c r="C9" s="831"/>
      <c r="D9" s="831"/>
      <c r="E9" s="377">
        <f>'BP FORMAT JUILLET 2023'!B10</f>
        <v>151.66999999999999</v>
      </c>
      <c r="F9" s="60"/>
      <c r="L9" s="37">
        <v>6</v>
      </c>
    </row>
    <row r="10" spans="1:13" x14ac:dyDescent="0.25">
      <c r="B10" s="831" t="s">
        <v>305</v>
      </c>
      <c r="C10" s="831"/>
      <c r="D10" s="831"/>
      <c r="E10" s="376">
        <f>'BP FORMAT JUILLET 2023'!J33</f>
        <v>6000</v>
      </c>
      <c r="F10" s="60"/>
      <c r="L10" s="37"/>
    </row>
    <row r="11" spans="1:13" x14ac:dyDescent="0.25">
      <c r="B11" s="916" t="s">
        <v>725</v>
      </c>
      <c r="C11" s="916"/>
      <c r="D11" s="916"/>
      <c r="E11" s="498">
        <v>45778</v>
      </c>
      <c r="L11" s="37">
        <v>7</v>
      </c>
    </row>
    <row r="12" spans="1:13" ht="30.75" customHeight="1" x14ac:dyDescent="0.25">
      <c r="B12" s="924" t="s">
        <v>306</v>
      </c>
      <c r="C12" s="924"/>
      <c r="D12" s="924"/>
      <c r="E12" s="924"/>
      <c r="F12" s="924"/>
      <c r="G12" s="924"/>
      <c r="H12" s="924"/>
      <c r="I12" s="924"/>
      <c r="J12" s="924"/>
      <c r="K12" s="925"/>
      <c r="L12" s="37">
        <v>8</v>
      </c>
    </row>
    <row r="13" spans="1:13" ht="30.75" customHeight="1" x14ac:dyDescent="0.25">
      <c r="A13" s="206"/>
      <c r="B13" s="899" t="s">
        <v>305</v>
      </c>
      <c r="C13" s="899" t="s">
        <v>307</v>
      </c>
      <c r="D13" s="899" t="s">
        <v>14</v>
      </c>
      <c r="E13" s="37" t="s">
        <v>308</v>
      </c>
      <c r="F13" s="829" t="s">
        <v>309</v>
      </c>
      <c r="G13" s="829" t="s">
        <v>310</v>
      </c>
      <c r="H13" s="829" t="s">
        <v>311</v>
      </c>
      <c r="I13" s="829" t="s">
        <v>839</v>
      </c>
      <c r="J13" s="829" t="s">
        <v>312</v>
      </c>
      <c r="K13" s="823"/>
      <c r="L13" s="37">
        <v>9</v>
      </c>
    </row>
    <row r="14" spans="1:13" ht="30.75" customHeight="1" x14ac:dyDescent="0.25">
      <c r="B14" s="900"/>
      <c r="C14" s="900"/>
      <c r="D14" s="900"/>
      <c r="E14" s="900" t="s">
        <v>313</v>
      </c>
      <c r="F14" s="829"/>
      <c r="G14" s="829"/>
      <c r="H14" s="829"/>
      <c r="I14" s="829"/>
      <c r="J14" s="829"/>
      <c r="K14" s="823"/>
      <c r="L14" s="37">
        <v>10</v>
      </c>
    </row>
    <row r="15" spans="1:13" ht="30.75" customHeight="1" x14ac:dyDescent="0.25">
      <c r="B15" s="901"/>
      <c r="C15" s="901"/>
      <c r="D15" s="901"/>
      <c r="E15" s="901"/>
      <c r="F15" s="829"/>
      <c r="G15" s="829"/>
      <c r="H15" s="829"/>
      <c r="I15" s="829"/>
      <c r="J15" s="829"/>
      <c r="K15" s="823"/>
      <c r="L15" s="37">
        <v>11</v>
      </c>
    </row>
    <row r="16" spans="1:13" ht="30.75" customHeight="1" x14ac:dyDescent="0.25">
      <c r="B16" s="926">
        <f>+E10</f>
        <v>6000</v>
      </c>
      <c r="C16" s="900">
        <f>E9</f>
        <v>151.66999999999999</v>
      </c>
      <c r="D16" s="900">
        <f>E8</f>
        <v>11.88</v>
      </c>
      <c r="E16" s="900">
        <f>1.6*D16*C16</f>
        <v>2882.9433600000002</v>
      </c>
      <c r="F16" s="900">
        <f>E16/B16</f>
        <v>0.48049056000000001</v>
      </c>
      <c r="G16" s="900">
        <f>IF(F16&lt;=1,0,F16-1)</f>
        <v>0</v>
      </c>
      <c r="H16" s="919">
        <f>ROUND(IF(E7&lt;50,E4*G16/0.6,E5*G16/0.6),4)</f>
        <v>0</v>
      </c>
      <c r="I16" s="919">
        <f>IF(E7&gt;50,MIN(E5,H16),MIN(H16,E4))</f>
        <v>0</v>
      </c>
      <c r="J16" s="920">
        <f>ROUND(I16*B16,2)</f>
        <v>0</v>
      </c>
      <c r="K16" s="921"/>
      <c r="L16" s="37">
        <v>12</v>
      </c>
    </row>
    <row r="17" spans="1:12" ht="30.75" customHeight="1" x14ac:dyDescent="0.25">
      <c r="B17" s="901"/>
      <c r="C17" s="901"/>
      <c r="D17" s="901"/>
      <c r="E17" s="901"/>
      <c r="F17" s="901"/>
      <c r="G17" s="901"/>
      <c r="H17" s="901"/>
      <c r="I17" s="901"/>
      <c r="J17" s="922"/>
      <c r="K17" s="923"/>
      <c r="L17" s="37">
        <v>13</v>
      </c>
    </row>
    <row r="21" spans="1:12" ht="27.75" customHeight="1" x14ac:dyDescent="0.25"/>
    <row r="22" spans="1:12" ht="29.25" customHeight="1" x14ac:dyDescent="0.25">
      <c r="A22" s="206"/>
      <c r="B22" s="852"/>
      <c r="C22" s="852"/>
      <c r="D22" s="852"/>
      <c r="E22" s="62"/>
      <c r="F22" s="852"/>
      <c r="G22" s="852"/>
      <c r="H22" s="62"/>
      <c r="I22" s="852"/>
      <c r="J22" s="852"/>
      <c r="K22" s="852"/>
      <c r="L22" s="62"/>
    </row>
    <row r="23" spans="1:12" ht="29.25" customHeight="1" x14ac:dyDescent="0.25">
      <c r="B23" s="852"/>
      <c r="C23" s="852"/>
      <c r="D23" s="852"/>
      <c r="E23" s="852"/>
      <c r="F23" s="852"/>
      <c r="G23" s="852"/>
      <c r="H23" s="62"/>
      <c r="I23" s="852"/>
      <c r="J23" s="852"/>
      <c r="K23" s="852"/>
      <c r="L23" s="62"/>
    </row>
    <row r="24" spans="1:12" ht="29.25" customHeight="1" x14ac:dyDescent="0.25">
      <c r="B24" s="852"/>
      <c r="C24" s="852"/>
      <c r="D24" s="852"/>
      <c r="E24" s="852"/>
      <c r="F24" s="852"/>
      <c r="G24" s="852"/>
      <c r="H24" s="62"/>
      <c r="I24" s="852"/>
      <c r="J24" s="852"/>
      <c r="K24" s="852"/>
      <c r="L24" s="62"/>
    </row>
    <row r="25" spans="1:12" ht="29.25" customHeight="1" x14ac:dyDescent="0.25">
      <c r="B25" s="852"/>
      <c r="C25" s="852"/>
      <c r="D25" s="852"/>
      <c r="E25" s="852"/>
      <c r="F25" s="852"/>
      <c r="G25" s="852"/>
      <c r="H25" s="62"/>
      <c r="I25" s="852"/>
      <c r="J25" s="921"/>
      <c r="K25" s="921"/>
      <c r="L25" s="62"/>
    </row>
    <row r="26" spans="1:12" ht="29.25" customHeight="1" x14ac:dyDescent="0.25">
      <c r="B26" s="852"/>
      <c r="C26" s="852"/>
      <c r="D26" s="852"/>
      <c r="E26" s="852"/>
      <c r="F26" s="852"/>
      <c r="G26" s="852"/>
      <c r="H26" s="62"/>
      <c r="I26" s="852"/>
      <c r="J26" s="921"/>
      <c r="K26" s="921"/>
      <c r="L26" s="62"/>
    </row>
  </sheetData>
  <mergeCells count="46">
    <mergeCell ref="G25:G26"/>
    <mergeCell ref="I25:I26"/>
    <mergeCell ref="J25:K26"/>
    <mergeCell ref="E23:E24"/>
    <mergeCell ref="B25:B26"/>
    <mergeCell ref="C25:C26"/>
    <mergeCell ref="D25:D26"/>
    <mergeCell ref="E25:E26"/>
    <mergeCell ref="F25:F26"/>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topLeftCell="A5" workbookViewId="0">
      <selection activeCell="H11" sqref="H11"/>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27" t="s">
        <v>537</v>
      </c>
      <c r="C1" s="927"/>
      <c r="D1" s="927"/>
      <c r="E1" s="927"/>
      <c r="F1" s="927"/>
      <c r="G1" s="927"/>
      <c r="H1" s="927"/>
    </row>
    <row r="2" spans="2:11" ht="14.25" customHeight="1" x14ac:dyDescent="0.3"/>
    <row r="3" spans="2:11" ht="14.25" customHeight="1" x14ac:dyDescent="0.3"/>
    <row r="5" spans="2:11" ht="14.25" customHeight="1" x14ac:dyDescent="0.3">
      <c r="G5" s="187" t="s">
        <v>836</v>
      </c>
      <c r="K5" s="630">
        <v>45778</v>
      </c>
    </row>
    <row r="6" spans="2:11" ht="14.25" customHeight="1" x14ac:dyDescent="0.3">
      <c r="B6" s="38" t="s">
        <v>104</v>
      </c>
      <c r="C6" s="38" t="s">
        <v>105</v>
      </c>
      <c r="D6" s="38" t="s">
        <v>106</v>
      </c>
      <c r="E6" s="38"/>
      <c r="G6" s="187" t="s">
        <v>837</v>
      </c>
      <c r="K6" s="190"/>
    </row>
    <row r="7" spans="2:11" ht="14.25" customHeight="1" x14ac:dyDescent="0.3">
      <c r="B7" s="516">
        <v>0</v>
      </c>
      <c r="C7" s="516">
        <f>IF('BP FORMAT JUILLET 2023'!$H$10&lt;$K$5,'TAUX NEUTRE JANVIER  '!C7,'TAUX NEUTRE MAI '!C7)</f>
        <v>1591</v>
      </c>
      <c r="D7" s="516">
        <v>0</v>
      </c>
      <c r="E7" s="517">
        <f t="shared" ref="E7:E26" si="0" xml:space="preserve"> IF($H$11&gt;=B7,IF($H$11&lt;C7,D7,0),0)</f>
        <v>0</v>
      </c>
    </row>
    <row r="8" spans="2:11" ht="14.25" customHeight="1" x14ac:dyDescent="0.3">
      <c r="B8" s="516">
        <f>C7</f>
        <v>1591</v>
      </c>
      <c r="C8" s="516">
        <f>IF('BP FORMAT JUILLET 2023'!$H$10&lt;$K$5,'TAUX NEUTRE JANVIER  '!C8,'TAUX NEUTRE MAI '!C8)</f>
        <v>1653</v>
      </c>
      <c r="D8" s="434">
        <v>5.0000000000000001E-3</v>
      </c>
      <c r="E8" s="434">
        <f t="shared" si="0"/>
        <v>0</v>
      </c>
    </row>
    <row r="9" spans="2:11" ht="14.25" customHeight="1" x14ac:dyDescent="0.3">
      <c r="B9" s="516">
        <f t="shared" ref="B9:B26" si="1">C8</f>
        <v>1653</v>
      </c>
      <c r="C9" s="516">
        <f>IF('BP FORMAT JUILLET 2023'!$H$10&lt;$K$5,'TAUX NEUTRE JANVIER  '!C9,'TAUX NEUTRE MAI '!C9)</f>
        <v>1759</v>
      </c>
      <c r="D9" s="434">
        <v>1.2999999999999999E-2</v>
      </c>
      <c r="E9" s="434">
        <f t="shared" si="0"/>
        <v>0</v>
      </c>
    </row>
    <row r="10" spans="2:11" ht="14.25" customHeight="1" x14ac:dyDescent="0.3">
      <c r="B10" s="516">
        <f t="shared" si="1"/>
        <v>1759</v>
      </c>
      <c r="C10" s="516">
        <f>IF('BP FORMAT JUILLET 2023'!$H$10&lt;$K$5,'TAUX NEUTRE JANVIER  '!C10,'TAUX NEUTRE MAI '!C10)</f>
        <v>1877</v>
      </c>
      <c r="D10" s="434">
        <v>2.1000000000000001E-2</v>
      </c>
      <c r="E10" s="434">
        <f t="shared" si="0"/>
        <v>0</v>
      </c>
      <c r="G10" s="928" t="s">
        <v>203</v>
      </c>
      <c r="H10" s="928"/>
    </row>
    <row r="11" spans="2:11" ht="14.25" customHeight="1" x14ac:dyDescent="0.3">
      <c r="B11" s="516">
        <f t="shared" si="1"/>
        <v>1877</v>
      </c>
      <c r="C11" s="516">
        <f>IF('BP FORMAT JUILLET 2023'!$H$10&lt;$K$5,'TAUX NEUTRE JANVIER  '!C11,'TAUX NEUTRE MAI '!C11)</f>
        <v>2006</v>
      </c>
      <c r="D11" s="434">
        <v>2.9000000000000001E-2</v>
      </c>
      <c r="E11" s="434">
        <f t="shared" si="0"/>
        <v>0</v>
      </c>
      <c r="G11" s="195" t="s">
        <v>102</v>
      </c>
      <c r="H11" s="196">
        <f>'BP FORMAT JUILLET 2023'!D89</f>
        <v>4928.1100000000006</v>
      </c>
    </row>
    <row r="12" spans="2:11" ht="14.25" customHeight="1" x14ac:dyDescent="0.3">
      <c r="B12" s="516">
        <f t="shared" si="1"/>
        <v>2006</v>
      </c>
      <c r="C12" s="516">
        <f>IF('BP FORMAT JUILLET 2023'!$H$10&lt;$K$5,'TAUX NEUTRE JANVIER  '!C12,'TAUX NEUTRE MAI '!C12)</f>
        <v>2113</v>
      </c>
      <c r="D12" s="434">
        <v>3.5000000000000003E-2</v>
      </c>
      <c r="E12" s="434">
        <f t="shared" si="0"/>
        <v>0</v>
      </c>
      <c r="G12" s="195" t="s">
        <v>103</v>
      </c>
      <c r="H12" s="197">
        <f>E27</f>
        <v>0.158</v>
      </c>
    </row>
    <row r="13" spans="2:11" ht="14.25" customHeight="1" x14ac:dyDescent="0.3">
      <c r="B13" s="516">
        <f t="shared" si="1"/>
        <v>2113</v>
      </c>
      <c r="C13" s="516">
        <f>IF('BP FORMAT JUILLET 2023'!$H$10&lt;$K$5,'TAUX NEUTRE JANVIER  '!C13,'TAUX NEUTRE MAI '!C13)</f>
        <v>2253</v>
      </c>
      <c r="D13" s="434">
        <v>4.1000000000000002E-2</v>
      </c>
      <c r="E13" s="434">
        <f t="shared" si="0"/>
        <v>0</v>
      </c>
    </row>
    <row r="14" spans="2:11" ht="14.25" customHeight="1" x14ac:dyDescent="0.3">
      <c r="B14" s="516">
        <f t="shared" si="1"/>
        <v>2253</v>
      </c>
      <c r="C14" s="516">
        <f>IF('BP FORMAT JUILLET 2023'!$H$10&lt;$K$5,'TAUX NEUTRE JANVIER  '!C14,'TAUX NEUTRE MAI '!C14)</f>
        <v>2666</v>
      </c>
      <c r="D14" s="434">
        <v>5.2999999999999999E-2</v>
      </c>
      <c r="E14" s="434">
        <f t="shared" si="0"/>
        <v>0</v>
      </c>
    </row>
    <row r="15" spans="2:11" ht="14.25" customHeight="1" x14ac:dyDescent="0.3">
      <c r="B15" s="516">
        <f t="shared" si="1"/>
        <v>2666</v>
      </c>
      <c r="C15" s="516">
        <f>IF('BP FORMAT JUILLET 2023'!$H$10&lt;$K$5,'TAUX NEUTRE JANVIER  '!C15,'TAUX NEUTRE MAI '!C15)</f>
        <v>3052</v>
      </c>
      <c r="D15" s="434">
        <v>7.4999999999999997E-2</v>
      </c>
      <c r="E15" s="434">
        <f t="shared" si="0"/>
        <v>0</v>
      </c>
    </row>
    <row r="16" spans="2:11" ht="14.25" customHeight="1" x14ac:dyDescent="0.3">
      <c r="B16" s="516">
        <f t="shared" si="1"/>
        <v>3052</v>
      </c>
      <c r="C16" s="516">
        <f>IF('BP FORMAT JUILLET 2023'!$H$10&lt;$K$5,'TAUX NEUTRE JANVIER  '!C16,'TAUX NEUTRE MAI '!C16)</f>
        <v>3476</v>
      </c>
      <c r="D16" s="434">
        <v>9.9000000000000005E-2</v>
      </c>
      <c r="E16" s="434">
        <f t="shared" si="0"/>
        <v>0</v>
      </c>
    </row>
    <row r="17" spans="2:11" ht="14.25" customHeight="1" x14ac:dyDescent="0.3">
      <c r="B17" s="516">
        <f t="shared" si="1"/>
        <v>3476</v>
      </c>
      <c r="C17" s="516">
        <f>IF('BP FORMAT JUILLET 2023'!$H$10&lt;$K$5,'TAUX NEUTRE JANVIER  '!C17,'TAUX NEUTRE MAI '!C17)</f>
        <v>3913</v>
      </c>
      <c r="D17" s="434">
        <v>0.11899999999999999</v>
      </c>
      <c r="E17" s="434">
        <f t="shared" si="0"/>
        <v>0</v>
      </c>
    </row>
    <row r="18" spans="2:11" ht="14.25" customHeight="1" x14ac:dyDescent="0.3">
      <c r="B18" s="516">
        <f t="shared" si="1"/>
        <v>3913</v>
      </c>
      <c r="C18" s="516">
        <f>IF('BP FORMAT JUILLET 2023'!$H$10&lt;$K$5,'TAUX NEUTRE JANVIER  '!C18,'TAUX NEUTRE MAI '!C18)</f>
        <v>4566</v>
      </c>
      <c r="D18" s="434">
        <v>0.13800000000000001</v>
      </c>
      <c r="E18" s="434">
        <f t="shared" si="0"/>
        <v>0</v>
      </c>
    </row>
    <row r="19" spans="2:11" ht="14.25" customHeight="1" x14ac:dyDescent="0.3">
      <c r="B19" s="516">
        <f t="shared" si="1"/>
        <v>4566</v>
      </c>
      <c r="C19" s="516">
        <f>IF('BP FORMAT JUILLET 2023'!$H$10&lt;$K$5,'TAUX NEUTRE JANVIER  '!C19,'TAUX NEUTRE MAI '!C19)</f>
        <v>5475</v>
      </c>
      <c r="D19" s="434">
        <v>0.158</v>
      </c>
      <c r="E19" s="434">
        <f t="shared" si="0"/>
        <v>0.158</v>
      </c>
    </row>
    <row r="20" spans="2:11" ht="14.25" customHeight="1" x14ac:dyDescent="0.3">
      <c r="B20" s="516">
        <f t="shared" si="1"/>
        <v>5475</v>
      </c>
      <c r="C20" s="516">
        <f>IF('BP FORMAT JUILLET 2023'!$H$10&lt;$K$5,'TAUX NEUTRE JANVIER  '!C20,'TAUX NEUTRE MAI '!C20)</f>
        <v>6851</v>
      </c>
      <c r="D20" s="434">
        <v>0.17899999999999999</v>
      </c>
      <c r="E20" s="434">
        <f t="shared" si="0"/>
        <v>0</v>
      </c>
    </row>
    <row r="21" spans="2:11" ht="14.25" customHeight="1" x14ac:dyDescent="0.3">
      <c r="B21" s="516">
        <f t="shared" si="1"/>
        <v>6851</v>
      </c>
      <c r="C21" s="516">
        <f>IF('BP FORMAT JUILLET 2023'!$H$10&lt;$K$5,'TAUX NEUTRE JANVIER  '!C21,'TAUX NEUTRE MAI '!C21)</f>
        <v>8557</v>
      </c>
      <c r="D21" s="434">
        <v>0.2</v>
      </c>
      <c r="E21" s="434">
        <f t="shared" si="0"/>
        <v>0</v>
      </c>
    </row>
    <row r="22" spans="2:11" ht="14.25" customHeight="1" x14ac:dyDescent="0.3">
      <c r="B22" s="516">
        <f t="shared" si="1"/>
        <v>8557</v>
      </c>
      <c r="C22" s="516">
        <f>IF('BP FORMAT JUILLET 2023'!$H$10&lt;$K$5,'TAUX NEUTRE JANVIER  '!C22,'TAUX NEUTRE MAI '!C22)</f>
        <v>11877</v>
      </c>
      <c r="D22" s="434">
        <v>0.24</v>
      </c>
      <c r="E22" s="434">
        <f t="shared" si="0"/>
        <v>0</v>
      </c>
    </row>
    <row r="23" spans="2:11" ht="14.25" customHeight="1" x14ac:dyDescent="0.3">
      <c r="B23" s="516">
        <f t="shared" si="1"/>
        <v>11877</v>
      </c>
      <c r="C23" s="516">
        <f>IF('BP FORMAT JUILLET 2023'!$H$10&lt;$K$5,'TAUX NEUTRE JANVIER  '!C23,'TAUX NEUTRE MAI '!C23)</f>
        <v>16086</v>
      </c>
      <c r="D23" s="434">
        <v>0.28000000000000003</v>
      </c>
      <c r="E23" s="434">
        <f t="shared" si="0"/>
        <v>0</v>
      </c>
    </row>
    <row r="24" spans="2:11" ht="14.25" customHeight="1" x14ac:dyDescent="0.3">
      <c r="B24" s="516">
        <f t="shared" si="1"/>
        <v>16086</v>
      </c>
      <c r="C24" s="516">
        <f>IF('BP FORMAT JUILLET 2023'!$H$10&lt;$K$5,'TAUX NEUTRE JANVIER  '!C24,'TAUX NEUTRE MAI '!C24)</f>
        <v>25251</v>
      </c>
      <c r="D24" s="434">
        <v>0.33</v>
      </c>
      <c r="E24" s="434">
        <f t="shared" si="0"/>
        <v>0</v>
      </c>
    </row>
    <row r="25" spans="2:11" ht="14.25" customHeight="1" x14ac:dyDescent="0.3">
      <c r="B25" s="516">
        <f t="shared" si="1"/>
        <v>25251</v>
      </c>
      <c r="C25" s="516">
        <f>IF('BP FORMAT JUILLET 2023'!$H$10&lt;$K$5,'TAUX NEUTRE JANVIER  '!C25,'TAUX NEUTRE MAI '!C25)</f>
        <v>54088</v>
      </c>
      <c r="D25" s="434">
        <v>0.38</v>
      </c>
      <c r="E25" s="434">
        <f t="shared" si="0"/>
        <v>0</v>
      </c>
    </row>
    <row r="26" spans="2:11" ht="14.25" customHeight="1" x14ac:dyDescent="0.3">
      <c r="B26" s="516">
        <f t="shared" si="1"/>
        <v>54088</v>
      </c>
      <c r="C26" s="516">
        <f>IF('BP FORMAT JUILLET 2023'!$H$10&lt;$K$5,'TAUX NEUTRE JANVIER  '!C26,'TAUX NEUTRE MAI '!C26)</f>
        <v>99999999999</v>
      </c>
      <c r="D26" s="434">
        <v>0.43</v>
      </c>
      <c r="E26" s="434">
        <f t="shared" si="0"/>
        <v>0</v>
      </c>
    </row>
    <row r="27" spans="2:11" ht="14.25" customHeight="1" x14ac:dyDescent="0.3">
      <c r="B27" s="189"/>
      <c r="E27" s="194">
        <f>SUM(E7:E26)</f>
        <v>0.158</v>
      </c>
    </row>
    <row r="28" spans="2:11" ht="18" customHeight="1" x14ac:dyDescent="0.3"/>
    <row r="29" spans="2:11" ht="14.25" hidden="1" customHeight="1" x14ac:dyDescent="0.3">
      <c r="J29" s="929"/>
      <c r="K29" s="929"/>
    </row>
    <row r="30" spans="2:11" ht="14.25" hidden="1" customHeight="1" x14ac:dyDescent="0.3">
      <c r="B30" s="38" t="s">
        <v>104</v>
      </c>
      <c r="C30" s="38" t="s">
        <v>105</v>
      </c>
      <c r="D30" s="38" t="s">
        <v>106</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204</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A7"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27" t="s">
        <v>537</v>
      </c>
      <c r="C1" s="927"/>
      <c r="D1" s="927"/>
      <c r="E1" s="927"/>
      <c r="F1" s="927"/>
      <c r="G1" s="927"/>
      <c r="H1" s="927"/>
    </row>
    <row r="2" spans="2:11" ht="14.25" customHeight="1" x14ac:dyDescent="0.3"/>
    <row r="3" spans="2:11" ht="14.25" customHeight="1" x14ac:dyDescent="0.3"/>
    <row r="5" spans="2:11" ht="14.25" customHeight="1" x14ac:dyDescent="0.3"/>
    <row r="6" spans="2:11" ht="14.25" customHeight="1" x14ac:dyDescent="0.3">
      <c r="B6" s="38" t="s">
        <v>104</v>
      </c>
      <c r="C6" s="38" t="s">
        <v>105</v>
      </c>
      <c r="D6" s="38" t="s">
        <v>106</v>
      </c>
      <c r="E6" s="38"/>
      <c r="J6" s="189"/>
      <c r="K6" s="190"/>
    </row>
    <row r="7" spans="2:11" ht="14.25" customHeight="1" x14ac:dyDescent="0.3">
      <c r="B7" s="516">
        <v>0</v>
      </c>
      <c r="C7" s="516">
        <v>1591</v>
      </c>
      <c r="D7" s="516">
        <v>0</v>
      </c>
      <c r="E7" s="517">
        <f t="shared" ref="E7:E26" si="0" xml:space="preserve"> IF($H$11&gt;=B7,IF($H$11&lt;C7,D7,0),0)</f>
        <v>0</v>
      </c>
    </row>
    <row r="8" spans="2:11" ht="14.25" customHeight="1" x14ac:dyDescent="0.3">
      <c r="B8" s="516">
        <f>C7</f>
        <v>1591</v>
      </c>
      <c r="C8" s="516">
        <v>1653</v>
      </c>
      <c r="D8" s="434">
        <v>5.0000000000000001E-3</v>
      </c>
      <c r="E8" s="434">
        <f t="shared" si="0"/>
        <v>0</v>
      </c>
    </row>
    <row r="9" spans="2:11" ht="14.25" customHeight="1" x14ac:dyDescent="0.3">
      <c r="B9" s="516">
        <f t="shared" ref="B9:B26" si="1">C8</f>
        <v>1653</v>
      </c>
      <c r="C9" s="516">
        <v>1759</v>
      </c>
      <c r="D9" s="434">
        <v>1.2999999999999999E-2</v>
      </c>
      <c r="E9" s="434">
        <f t="shared" si="0"/>
        <v>0</v>
      </c>
    </row>
    <row r="10" spans="2:11" ht="14.25" customHeight="1" x14ac:dyDescent="0.3">
      <c r="B10" s="516">
        <f t="shared" si="1"/>
        <v>1759</v>
      </c>
      <c r="C10" s="516">
        <v>1877</v>
      </c>
      <c r="D10" s="434">
        <v>2.1000000000000001E-2</v>
      </c>
      <c r="E10" s="434">
        <f t="shared" si="0"/>
        <v>0</v>
      </c>
      <c r="G10" s="928" t="s">
        <v>203</v>
      </c>
      <c r="H10" s="928"/>
    </row>
    <row r="11" spans="2:11" ht="14.25" customHeight="1" x14ac:dyDescent="0.3">
      <c r="B11" s="516">
        <f t="shared" si="1"/>
        <v>1877</v>
      </c>
      <c r="C11" s="516">
        <v>2006</v>
      </c>
      <c r="D11" s="434">
        <v>2.9000000000000001E-2</v>
      </c>
      <c r="E11" s="434">
        <f t="shared" si="0"/>
        <v>0</v>
      </c>
      <c r="G11" s="195" t="s">
        <v>102</v>
      </c>
      <c r="H11" s="196">
        <v>3000</v>
      </c>
    </row>
    <row r="12" spans="2:11" ht="14.25" customHeight="1" x14ac:dyDescent="0.3">
      <c r="B12" s="516">
        <f t="shared" si="1"/>
        <v>2006</v>
      </c>
      <c r="C12" s="516">
        <v>2113</v>
      </c>
      <c r="D12" s="434">
        <v>3.5000000000000003E-2</v>
      </c>
      <c r="E12" s="434">
        <f t="shared" si="0"/>
        <v>0</v>
      </c>
      <c r="G12" s="195" t="s">
        <v>103</v>
      </c>
      <c r="H12" s="197">
        <f>E27</f>
        <v>7.4999999999999997E-2</v>
      </c>
    </row>
    <row r="13" spans="2:11" ht="14.25" customHeight="1" x14ac:dyDescent="0.3">
      <c r="B13" s="516">
        <f t="shared" si="1"/>
        <v>2113</v>
      </c>
      <c r="C13" s="516">
        <v>2253</v>
      </c>
      <c r="D13" s="434">
        <v>4.1000000000000002E-2</v>
      </c>
      <c r="E13" s="434">
        <f t="shared" si="0"/>
        <v>0</v>
      </c>
    </row>
    <row r="14" spans="2:11" ht="14.25" customHeight="1" x14ac:dyDescent="0.3">
      <c r="B14" s="516">
        <f t="shared" si="1"/>
        <v>2253</v>
      </c>
      <c r="C14" s="516">
        <v>2666</v>
      </c>
      <c r="D14" s="434">
        <v>5.2999999999999999E-2</v>
      </c>
      <c r="E14" s="434">
        <f t="shared" si="0"/>
        <v>0</v>
      </c>
    </row>
    <row r="15" spans="2:11" ht="14.25" customHeight="1" x14ac:dyDescent="0.3">
      <c r="B15" s="516">
        <f t="shared" si="1"/>
        <v>2666</v>
      </c>
      <c r="C15" s="516">
        <v>3052</v>
      </c>
      <c r="D15" s="434">
        <v>7.4999999999999997E-2</v>
      </c>
      <c r="E15" s="434">
        <f t="shared" si="0"/>
        <v>7.4999999999999997E-2</v>
      </c>
    </row>
    <row r="16" spans="2:11" ht="14.25" customHeight="1" x14ac:dyDescent="0.3">
      <c r="B16" s="516">
        <f t="shared" si="1"/>
        <v>3052</v>
      </c>
      <c r="C16" s="516">
        <v>3476</v>
      </c>
      <c r="D16" s="434">
        <v>9.9000000000000005E-2</v>
      </c>
      <c r="E16" s="434">
        <f t="shared" si="0"/>
        <v>0</v>
      </c>
    </row>
    <row r="17" spans="2:11" ht="14.25" customHeight="1" x14ac:dyDescent="0.3">
      <c r="B17" s="516">
        <f t="shared" si="1"/>
        <v>3476</v>
      </c>
      <c r="C17" s="516">
        <v>3913</v>
      </c>
      <c r="D17" s="434">
        <v>0.11899999999999999</v>
      </c>
      <c r="E17" s="434">
        <f t="shared" si="0"/>
        <v>0</v>
      </c>
    </row>
    <row r="18" spans="2:11" ht="14.25" customHeight="1" x14ac:dyDescent="0.3">
      <c r="B18" s="516">
        <f t="shared" si="1"/>
        <v>3913</v>
      </c>
      <c r="C18" s="516">
        <v>4566</v>
      </c>
      <c r="D18" s="434">
        <v>0.13800000000000001</v>
      </c>
      <c r="E18" s="434">
        <f t="shared" si="0"/>
        <v>0</v>
      </c>
    </row>
    <row r="19" spans="2:11" ht="14.25" customHeight="1" x14ac:dyDescent="0.3">
      <c r="B19" s="516">
        <f t="shared" si="1"/>
        <v>4566</v>
      </c>
      <c r="C19" s="516">
        <v>5475</v>
      </c>
      <c r="D19" s="434">
        <v>0.158</v>
      </c>
      <c r="E19" s="434">
        <f t="shared" si="0"/>
        <v>0</v>
      </c>
    </row>
    <row r="20" spans="2:11" ht="14.25" customHeight="1" x14ac:dyDescent="0.3">
      <c r="B20" s="516">
        <f t="shared" si="1"/>
        <v>5475</v>
      </c>
      <c r="C20" s="516">
        <v>6851</v>
      </c>
      <c r="D20" s="434">
        <v>0.17899999999999999</v>
      </c>
      <c r="E20" s="434">
        <f t="shared" si="0"/>
        <v>0</v>
      </c>
    </row>
    <row r="21" spans="2:11" ht="14.25" customHeight="1" x14ac:dyDescent="0.3">
      <c r="B21" s="516">
        <f t="shared" si="1"/>
        <v>6851</v>
      </c>
      <c r="C21" s="516">
        <v>8557</v>
      </c>
      <c r="D21" s="434">
        <v>0.2</v>
      </c>
      <c r="E21" s="434">
        <f t="shared" si="0"/>
        <v>0</v>
      </c>
    </row>
    <row r="22" spans="2:11" ht="14.25" customHeight="1" x14ac:dyDescent="0.3">
      <c r="B22" s="516">
        <f t="shared" si="1"/>
        <v>8557</v>
      </c>
      <c r="C22" s="516">
        <v>11877</v>
      </c>
      <c r="D22" s="434">
        <v>0.24</v>
      </c>
      <c r="E22" s="434">
        <f t="shared" si="0"/>
        <v>0</v>
      </c>
    </row>
    <row r="23" spans="2:11" ht="14.25" customHeight="1" x14ac:dyDescent="0.3">
      <c r="B23" s="516">
        <f t="shared" si="1"/>
        <v>11877</v>
      </c>
      <c r="C23" s="516">
        <v>16086</v>
      </c>
      <c r="D23" s="434">
        <v>0.28000000000000003</v>
      </c>
      <c r="E23" s="434">
        <f t="shared" si="0"/>
        <v>0</v>
      </c>
    </row>
    <row r="24" spans="2:11" ht="14.25" customHeight="1" x14ac:dyDescent="0.3">
      <c r="B24" s="516">
        <f t="shared" si="1"/>
        <v>16086</v>
      </c>
      <c r="C24" s="516">
        <v>25251</v>
      </c>
      <c r="D24" s="434">
        <v>0.33</v>
      </c>
      <c r="E24" s="434">
        <f t="shared" si="0"/>
        <v>0</v>
      </c>
    </row>
    <row r="25" spans="2:11" ht="14.25" customHeight="1" x14ac:dyDescent="0.3">
      <c r="B25" s="516">
        <f t="shared" si="1"/>
        <v>25251</v>
      </c>
      <c r="C25" s="516">
        <v>54088</v>
      </c>
      <c r="D25" s="434">
        <v>0.38</v>
      </c>
      <c r="E25" s="434">
        <f t="shared" si="0"/>
        <v>0</v>
      </c>
    </row>
    <row r="26" spans="2:11" ht="14.25" customHeight="1" x14ac:dyDescent="0.3">
      <c r="B26" s="516">
        <f t="shared" si="1"/>
        <v>54088</v>
      </c>
      <c r="C26" s="516">
        <v>99999999999</v>
      </c>
      <c r="D26" s="434">
        <v>0.43</v>
      </c>
      <c r="E26" s="434">
        <f t="shared" si="0"/>
        <v>0</v>
      </c>
    </row>
    <row r="27" spans="2:11" ht="14.25" customHeight="1" x14ac:dyDescent="0.3">
      <c r="B27" s="189"/>
      <c r="E27" s="194">
        <f>SUM(E7:E26)</f>
        <v>7.4999999999999997E-2</v>
      </c>
    </row>
    <row r="28" spans="2:11" ht="18" customHeight="1" x14ac:dyDescent="0.3"/>
    <row r="29" spans="2:11" ht="14.25" hidden="1" customHeight="1" x14ac:dyDescent="0.3">
      <c r="J29" s="929"/>
      <c r="K29" s="929"/>
    </row>
    <row r="30" spans="2:11" ht="14.25" hidden="1" customHeight="1" x14ac:dyDescent="0.3">
      <c r="B30" s="38" t="s">
        <v>104</v>
      </c>
      <c r="C30" s="38" t="s">
        <v>105</v>
      </c>
      <c r="D30" s="38" t="s">
        <v>106</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204</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activeCell="E7" sqref="E7"/>
    </sheetView>
  </sheetViews>
  <sheetFormatPr baseColWidth="10" defaultColWidth="11.44140625" defaultRowHeight="15.6" x14ac:dyDescent="0.3"/>
  <cols>
    <col min="1" max="1" width="3.33203125" style="187" customWidth="1"/>
    <col min="2" max="3" width="23.2187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27" t="s">
        <v>537</v>
      </c>
      <c r="C1" s="927"/>
      <c r="D1" s="927"/>
      <c r="E1" s="927"/>
      <c r="F1" s="927"/>
      <c r="G1" s="927"/>
      <c r="H1" s="927"/>
    </row>
    <row r="2" spans="2:11" ht="14.25" customHeight="1" x14ac:dyDescent="0.3"/>
    <row r="3" spans="2:11" ht="14.25" customHeight="1" x14ac:dyDescent="0.3"/>
    <row r="5" spans="2:11" ht="14.25" customHeight="1" x14ac:dyDescent="0.3"/>
    <row r="6" spans="2:11" ht="14.25" customHeight="1" x14ac:dyDescent="0.3">
      <c r="C6" s="38" t="s">
        <v>104</v>
      </c>
      <c r="D6" s="38" t="s">
        <v>106</v>
      </c>
      <c r="E6" s="38"/>
      <c r="J6" s="189"/>
      <c r="K6" s="190"/>
    </row>
    <row r="7" spans="2:11" ht="14.25" customHeight="1" x14ac:dyDescent="0.3">
      <c r="B7" s="627">
        <v>0</v>
      </c>
      <c r="C7" s="627">
        <v>1620</v>
      </c>
      <c r="D7" s="516">
        <v>0</v>
      </c>
      <c r="E7" s="517">
        <f t="shared" ref="E7:E26" si="0" xml:space="preserve"> IF($H$11&gt;=B7,IF($H$11&lt;C7,D7,0),0)</f>
        <v>0</v>
      </c>
    </row>
    <row r="8" spans="2:11" ht="14.25" customHeight="1" x14ac:dyDescent="0.3">
      <c r="B8" s="627">
        <f>C7</f>
        <v>1620</v>
      </c>
      <c r="C8" s="627">
        <v>1683</v>
      </c>
      <c r="D8" s="434">
        <v>5.0000000000000001E-3</v>
      </c>
      <c r="E8" s="434">
        <f t="shared" si="0"/>
        <v>0</v>
      </c>
    </row>
    <row r="9" spans="2:11" ht="14.25" customHeight="1" x14ac:dyDescent="0.3">
      <c r="B9" s="627">
        <f>C8</f>
        <v>1683</v>
      </c>
      <c r="C9" s="627">
        <v>1791</v>
      </c>
      <c r="D9" s="434">
        <v>1.2999999999999999E-2</v>
      </c>
      <c r="E9" s="434">
        <f t="shared" si="0"/>
        <v>0</v>
      </c>
    </row>
    <row r="10" spans="2:11" ht="14.25" customHeight="1" x14ac:dyDescent="0.3">
      <c r="B10" s="627">
        <f>C9</f>
        <v>1791</v>
      </c>
      <c r="C10" s="627">
        <v>1911</v>
      </c>
      <c r="D10" s="434">
        <v>2.1000000000000001E-2</v>
      </c>
      <c r="E10" s="434">
        <f t="shared" si="0"/>
        <v>0</v>
      </c>
      <c r="G10" s="928" t="s">
        <v>203</v>
      </c>
      <c r="H10" s="928"/>
    </row>
    <row r="11" spans="2:11" ht="14.25" customHeight="1" x14ac:dyDescent="0.3">
      <c r="B11" s="627">
        <f>C10</f>
        <v>1911</v>
      </c>
      <c r="C11" s="627">
        <v>2042</v>
      </c>
      <c r="D11" s="434">
        <v>2.9000000000000001E-2</v>
      </c>
      <c r="E11" s="434">
        <f t="shared" si="0"/>
        <v>0</v>
      </c>
      <c r="G11" s="195" t="s">
        <v>102</v>
      </c>
      <c r="H11" s="196">
        <v>3000</v>
      </c>
    </row>
    <row r="12" spans="2:11" ht="14.25" customHeight="1" x14ac:dyDescent="0.3">
      <c r="B12" s="627">
        <f>C11</f>
        <v>2042</v>
      </c>
      <c r="C12" s="627">
        <v>2151</v>
      </c>
      <c r="D12" s="434">
        <v>3.5000000000000003E-2</v>
      </c>
      <c r="E12" s="434">
        <f t="shared" si="0"/>
        <v>0</v>
      </c>
      <c r="G12" s="195" t="s">
        <v>103</v>
      </c>
      <c r="H12" s="197">
        <f>E27</f>
        <v>7.4999999999999997E-2</v>
      </c>
    </row>
    <row r="13" spans="2:11" ht="14.25" customHeight="1" x14ac:dyDescent="0.3">
      <c r="B13" s="627">
        <f t="shared" ref="B13:B24" si="1">C12</f>
        <v>2151</v>
      </c>
      <c r="C13" s="627">
        <v>2294</v>
      </c>
      <c r="D13" s="434">
        <v>4.1000000000000002E-2</v>
      </c>
      <c r="E13" s="434">
        <f t="shared" si="0"/>
        <v>0</v>
      </c>
    </row>
    <row r="14" spans="2:11" ht="14.25" customHeight="1" x14ac:dyDescent="0.3">
      <c r="B14" s="627">
        <f t="shared" si="1"/>
        <v>2294</v>
      </c>
      <c r="C14" s="627">
        <v>2714</v>
      </c>
      <c r="D14" s="434">
        <v>5.2999999999999999E-2</v>
      </c>
      <c r="E14" s="434">
        <f t="shared" si="0"/>
        <v>0</v>
      </c>
    </row>
    <row r="15" spans="2:11" ht="14.25" customHeight="1" x14ac:dyDescent="0.3">
      <c r="B15" s="627">
        <f t="shared" si="1"/>
        <v>2714</v>
      </c>
      <c r="C15" s="627">
        <v>3107</v>
      </c>
      <c r="D15" s="434">
        <v>7.4999999999999997E-2</v>
      </c>
      <c r="E15" s="434">
        <f t="shared" si="0"/>
        <v>7.4999999999999997E-2</v>
      </c>
    </row>
    <row r="16" spans="2:11" ht="14.25" customHeight="1" x14ac:dyDescent="0.3">
      <c r="B16" s="627">
        <f t="shared" si="1"/>
        <v>3107</v>
      </c>
      <c r="C16" s="627">
        <v>3539</v>
      </c>
      <c r="D16" s="434">
        <v>9.9000000000000005E-2</v>
      </c>
      <c r="E16" s="434">
        <f t="shared" si="0"/>
        <v>0</v>
      </c>
    </row>
    <row r="17" spans="2:11" ht="14.25" customHeight="1" x14ac:dyDescent="0.3">
      <c r="B17" s="627">
        <f t="shared" si="1"/>
        <v>3539</v>
      </c>
      <c r="C17" s="627">
        <v>3983</v>
      </c>
      <c r="D17" s="434">
        <v>0.11899999999999999</v>
      </c>
      <c r="E17" s="434">
        <f t="shared" si="0"/>
        <v>0</v>
      </c>
    </row>
    <row r="18" spans="2:11" ht="14.25" customHeight="1" x14ac:dyDescent="0.3">
      <c r="B18" s="627">
        <f t="shared" si="1"/>
        <v>3983</v>
      </c>
      <c r="C18" s="627">
        <v>4648</v>
      </c>
      <c r="D18" s="434">
        <v>0.13800000000000001</v>
      </c>
      <c r="E18" s="434">
        <f t="shared" si="0"/>
        <v>0</v>
      </c>
    </row>
    <row r="19" spans="2:11" ht="14.25" customHeight="1" x14ac:dyDescent="0.3">
      <c r="B19" s="627">
        <f t="shared" si="1"/>
        <v>4648</v>
      </c>
      <c r="C19" s="627">
        <v>5574</v>
      </c>
      <c r="D19" s="434">
        <v>0.158</v>
      </c>
      <c r="E19" s="434">
        <f t="shared" si="0"/>
        <v>0</v>
      </c>
    </row>
    <row r="20" spans="2:11" ht="14.25" customHeight="1" x14ac:dyDescent="0.3">
      <c r="B20" s="627">
        <f t="shared" si="1"/>
        <v>5574</v>
      </c>
      <c r="C20" s="627">
        <v>6974</v>
      </c>
      <c r="D20" s="434">
        <v>0.17899999999999999</v>
      </c>
      <c r="E20" s="434">
        <f t="shared" si="0"/>
        <v>0</v>
      </c>
    </row>
    <row r="21" spans="2:11" ht="14.25" customHeight="1" x14ac:dyDescent="0.3">
      <c r="B21" s="627">
        <f t="shared" si="1"/>
        <v>6974</v>
      </c>
      <c r="C21" s="627">
        <v>8711</v>
      </c>
      <c r="D21" s="434">
        <v>0.2</v>
      </c>
      <c r="E21" s="434">
        <f t="shared" si="0"/>
        <v>0</v>
      </c>
    </row>
    <row r="22" spans="2:11" ht="14.25" customHeight="1" x14ac:dyDescent="0.3">
      <c r="B22" s="627">
        <f t="shared" si="1"/>
        <v>8711</v>
      </c>
      <c r="C22" s="627">
        <v>12091</v>
      </c>
      <c r="D22" s="434">
        <v>0.24</v>
      </c>
      <c r="E22" s="434">
        <f t="shared" si="0"/>
        <v>0</v>
      </c>
    </row>
    <row r="23" spans="2:11" ht="14.25" customHeight="1" x14ac:dyDescent="0.3">
      <c r="B23" s="627">
        <f t="shared" si="1"/>
        <v>12091</v>
      </c>
      <c r="C23" s="627">
        <v>16376</v>
      </c>
      <c r="D23" s="434">
        <v>0.28000000000000003</v>
      </c>
      <c r="E23" s="434">
        <f t="shared" si="0"/>
        <v>0</v>
      </c>
    </row>
    <row r="24" spans="2:11" ht="14.25" customHeight="1" x14ac:dyDescent="0.3">
      <c r="B24" s="627">
        <f t="shared" si="1"/>
        <v>16376</v>
      </c>
      <c r="C24" s="627">
        <v>25706</v>
      </c>
      <c r="D24" s="434">
        <v>0.33</v>
      </c>
      <c r="E24" s="434">
        <f t="shared" si="0"/>
        <v>0</v>
      </c>
    </row>
    <row r="25" spans="2:11" ht="14.25" customHeight="1" x14ac:dyDescent="0.3">
      <c r="B25" s="627">
        <f>C24</f>
        <v>25706</v>
      </c>
      <c r="C25" s="627">
        <v>55062</v>
      </c>
      <c r="D25" s="434">
        <v>0.38</v>
      </c>
      <c r="E25" s="434">
        <f t="shared" si="0"/>
        <v>0</v>
      </c>
    </row>
    <row r="26" spans="2:11" ht="14.25" customHeight="1" x14ac:dyDescent="0.3">
      <c r="B26" s="627">
        <f>C25</f>
        <v>55062</v>
      </c>
      <c r="C26" s="627"/>
      <c r="D26" s="434">
        <v>0.43</v>
      </c>
      <c r="E26" s="434">
        <f t="shared" si="0"/>
        <v>0</v>
      </c>
    </row>
    <row r="27" spans="2:11" ht="14.25" customHeight="1" x14ac:dyDescent="0.3">
      <c r="B27" s="628"/>
      <c r="C27" s="628"/>
      <c r="E27" s="194">
        <f>SUM(E7:E26)</f>
        <v>7.4999999999999997E-2</v>
      </c>
    </row>
    <row r="28" spans="2:11" ht="18" customHeight="1" x14ac:dyDescent="0.3"/>
    <row r="29" spans="2:11" ht="14.25" hidden="1" customHeight="1" x14ac:dyDescent="0.3">
      <c r="B29" s="629" t="s">
        <v>835</v>
      </c>
      <c r="C29" s="629"/>
      <c r="J29" s="929"/>
      <c r="K29" s="929"/>
    </row>
    <row r="30" spans="2:11" ht="14.25" hidden="1" customHeight="1" x14ac:dyDescent="0.3">
      <c r="D30" s="38" t="s">
        <v>106</v>
      </c>
      <c r="E30" s="38"/>
      <c r="K30" s="199"/>
    </row>
    <row r="31" spans="2:11" ht="14.25" hidden="1" customHeight="1" x14ac:dyDescent="0.3">
      <c r="D31" s="191">
        <v>0</v>
      </c>
      <c r="E31" s="192">
        <f t="shared" ref="E31:E50" si="2" xml:space="preserve"> IF($G$34&gt;=B31,IF($G$34&lt;C31,D31,0),0)</f>
        <v>0</v>
      </c>
      <c r="K31" s="200"/>
    </row>
    <row r="32" spans="2:11" ht="14.25" hidden="1" customHeight="1" x14ac:dyDescent="0.3">
      <c r="D32" s="193">
        <v>5.0000000000000001E-3</v>
      </c>
      <c r="E32" s="194">
        <f t="shared" si="2"/>
        <v>0</v>
      </c>
      <c r="F32" s="201"/>
    </row>
    <row r="33" spans="4:7" ht="14.25" hidden="1" customHeight="1" x14ac:dyDescent="0.3">
      <c r="D33" s="193">
        <v>1.2999999999999999E-2</v>
      </c>
      <c r="E33" s="194">
        <f t="shared" si="2"/>
        <v>0</v>
      </c>
      <c r="F33" s="201"/>
      <c r="G33" s="195" t="s">
        <v>204</v>
      </c>
    </row>
    <row r="34" spans="4:7" ht="14.25" hidden="1" customHeight="1" x14ac:dyDescent="0.3">
      <c r="D34" s="194">
        <v>2.1000000000000001E-2</v>
      </c>
      <c r="E34" s="194">
        <f t="shared" si="2"/>
        <v>0</v>
      </c>
      <c r="F34" s="201"/>
      <c r="G34" s="196"/>
    </row>
    <row r="35" spans="4:7" ht="14.25" hidden="1" customHeight="1" x14ac:dyDescent="0.3">
      <c r="D35" s="194">
        <v>2.9000000000000001E-2</v>
      </c>
      <c r="E35" s="194">
        <f t="shared" si="2"/>
        <v>0</v>
      </c>
      <c r="F35" s="201"/>
      <c r="G35" s="197"/>
    </row>
    <row r="36" spans="4:7" ht="14.25" hidden="1" customHeight="1" x14ac:dyDescent="0.3">
      <c r="D36" s="194">
        <v>3.5000000000000003E-2</v>
      </c>
      <c r="E36" s="194">
        <f t="shared" si="2"/>
        <v>0</v>
      </c>
      <c r="F36" s="201"/>
    </row>
    <row r="37" spans="4:7" ht="14.25" hidden="1" customHeight="1" x14ac:dyDescent="0.3">
      <c r="D37" s="194">
        <v>4.1000000000000002E-2</v>
      </c>
      <c r="E37" s="194">
        <f t="shared" si="2"/>
        <v>0</v>
      </c>
      <c r="F37" s="201"/>
    </row>
    <row r="38" spans="4:7" ht="14.25" hidden="1" customHeight="1" x14ac:dyDescent="0.3">
      <c r="D38" s="194">
        <v>5.2999999999999999E-2</v>
      </c>
      <c r="E38" s="194">
        <f t="shared" si="2"/>
        <v>0</v>
      </c>
      <c r="F38" s="201"/>
    </row>
    <row r="39" spans="4:7" ht="14.25" hidden="1" customHeight="1" x14ac:dyDescent="0.3">
      <c r="D39" s="194">
        <v>7.4999999999999997E-2</v>
      </c>
      <c r="E39" s="194">
        <f t="shared" si="2"/>
        <v>0</v>
      </c>
      <c r="F39" s="201"/>
    </row>
    <row r="40" spans="4:7" ht="14.25" hidden="1" customHeight="1" x14ac:dyDescent="0.3">
      <c r="D40" s="194">
        <v>9.9000000000000005E-2</v>
      </c>
      <c r="E40" s="194">
        <f t="shared" si="2"/>
        <v>0</v>
      </c>
      <c r="F40" s="201"/>
    </row>
    <row r="41" spans="4:7" ht="14.25" hidden="1" customHeight="1" x14ac:dyDescent="0.3">
      <c r="D41" s="194">
        <v>0.11899999999999999</v>
      </c>
      <c r="E41" s="194">
        <f t="shared" si="2"/>
        <v>0</v>
      </c>
      <c r="F41" s="201"/>
    </row>
    <row r="42" spans="4:7" ht="14.25" hidden="1" customHeight="1" x14ac:dyDescent="0.3">
      <c r="D42" s="194">
        <v>0.13800000000000001</v>
      </c>
      <c r="E42" s="194">
        <f t="shared" si="2"/>
        <v>0</v>
      </c>
      <c r="F42" s="201"/>
    </row>
    <row r="43" spans="4:7" ht="14.25" hidden="1" customHeight="1" x14ac:dyDescent="0.3">
      <c r="D43" s="194">
        <v>0.158</v>
      </c>
      <c r="E43" s="194">
        <f t="shared" si="2"/>
        <v>0</v>
      </c>
      <c r="F43" s="201"/>
    </row>
    <row r="44" spans="4:7" ht="14.25" hidden="1" customHeight="1" x14ac:dyDescent="0.3">
      <c r="D44" s="194">
        <v>0.17899999999999999</v>
      </c>
      <c r="E44" s="194">
        <f t="shared" si="2"/>
        <v>0</v>
      </c>
      <c r="F44" s="201"/>
    </row>
    <row r="45" spans="4:7" ht="14.25" hidden="1" customHeight="1" x14ac:dyDescent="0.3">
      <c r="D45" s="194">
        <v>0.2</v>
      </c>
      <c r="E45" s="194">
        <f t="shared" si="2"/>
        <v>0</v>
      </c>
      <c r="F45" s="201"/>
    </row>
    <row r="46" spans="4:7" ht="14.25" hidden="1" customHeight="1" x14ac:dyDescent="0.3">
      <c r="D46" s="194">
        <v>0.24</v>
      </c>
      <c r="E46" s="194">
        <f t="shared" si="2"/>
        <v>0</v>
      </c>
      <c r="F46" s="201"/>
    </row>
    <row r="47" spans="4:7" ht="14.25" hidden="1" customHeight="1" x14ac:dyDescent="0.3">
      <c r="D47" s="194">
        <v>0.28000000000000003</v>
      </c>
      <c r="E47" s="194">
        <f t="shared" si="2"/>
        <v>0</v>
      </c>
      <c r="F47" s="201"/>
    </row>
    <row r="48" spans="4:7" ht="14.25" hidden="1" customHeight="1" x14ac:dyDescent="0.3">
      <c r="D48" s="194">
        <v>0.33</v>
      </c>
      <c r="E48" s="194">
        <f t="shared" si="2"/>
        <v>0</v>
      </c>
      <c r="F48" s="201"/>
    </row>
    <row r="49" spans="4:6" ht="14.25" hidden="1" customHeight="1" x14ac:dyDescent="0.3">
      <c r="D49" s="194">
        <v>0.38</v>
      </c>
      <c r="E49" s="194">
        <f t="shared" si="2"/>
        <v>0</v>
      </c>
      <c r="F49" s="201"/>
    </row>
    <row r="50" spans="4:6" ht="14.25" hidden="1" customHeight="1" x14ac:dyDescent="0.3">
      <c r="D50" s="194">
        <v>0.43</v>
      </c>
      <c r="E50" s="194">
        <f t="shared" si="2"/>
        <v>0</v>
      </c>
      <c r="F50" s="201"/>
    </row>
    <row r="51" spans="4:6" ht="14.25" hidden="1" customHeight="1" x14ac:dyDescent="0.3">
      <c r="E51" s="194">
        <f>SUM(E31:E50)</f>
        <v>0</v>
      </c>
      <c r="F51" s="202"/>
    </row>
    <row r="52" spans="4:6" ht="15" hidden="1" customHeight="1" x14ac:dyDescent="0.3"/>
    <row r="53" spans="4:6" ht="15" hidden="1" customHeight="1" x14ac:dyDescent="0.3"/>
  </sheetData>
  <mergeCells count="3">
    <mergeCell ref="B1:H1"/>
    <mergeCell ref="G10:H10"/>
    <mergeCell ref="J29:K29"/>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939" t="s">
        <v>524</v>
      </c>
      <c r="C1" s="939"/>
      <c r="D1" s="939"/>
      <c r="E1" s="939"/>
      <c r="F1" s="939"/>
      <c r="G1" s="939"/>
    </row>
    <row r="2" spans="1:11" ht="26.4" customHeight="1" x14ac:dyDescent="0.3">
      <c r="B2" s="940"/>
      <c r="C2" s="940"/>
      <c r="D2" s="940"/>
      <c r="E2" s="940"/>
      <c r="F2" s="940"/>
      <c r="G2" s="940"/>
    </row>
    <row r="3" spans="1:11" ht="23.25" customHeight="1" x14ac:dyDescent="0.3">
      <c r="B3" s="833" t="s">
        <v>525</v>
      </c>
      <c r="C3" s="833"/>
      <c r="D3" s="941" t="s">
        <v>526</v>
      </c>
      <c r="E3" s="941"/>
      <c r="F3" s="941"/>
      <c r="G3" s="941"/>
    </row>
    <row r="4" spans="1:11" ht="26.4" customHeight="1" x14ac:dyDescent="0.3">
      <c r="B4" s="942" t="s">
        <v>416</v>
      </c>
      <c r="C4" s="943"/>
      <c r="D4" s="108"/>
      <c r="F4" s="108"/>
      <c r="G4" s="108"/>
    </row>
    <row r="5" spans="1:11" ht="39.6" x14ac:dyDescent="0.3">
      <c r="A5" s="45">
        <v>1</v>
      </c>
      <c r="B5" s="528" t="s">
        <v>538</v>
      </c>
      <c r="C5" s="463">
        <v>45748</v>
      </c>
      <c r="E5" s="833">
        <f>ROUND(1.4*11.88*151.67*3*50%/91.25,2)</f>
        <v>41.47</v>
      </c>
      <c r="F5" s="833" t="s">
        <v>527</v>
      </c>
      <c r="G5" s="833"/>
      <c r="I5" s="108"/>
      <c r="J5" s="108"/>
      <c r="K5" s="108"/>
    </row>
    <row r="6" spans="1:11" ht="41.25" customHeight="1" x14ac:dyDescent="0.3">
      <c r="A6" s="45">
        <v>2</v>
      </c>
      <c r="B6" s="462" t="s">
        <v>417</v>
      </c>
      <c r="C6" s="463">
        <v>45736</v>
      </c>
      <c r="D6" s="464"/>
      <c r="E6" s="833"/>
      <c r="F6" s="833"/>
      <c r="G6" s="833"/>
    </row>
    <row r="7" spans="1:11" ht="41.25" customHeight="1" x14ac:dyDescent="0.3">
      <c r="B7" s="462" t="s">
        <v>418</v>
      </c>
      <c r="C7" s="463">
        <v>45747</v>
      </c>
      <c r="D7" s="464"/>
      <c r="E7" s="529">
        <f>1.8*11.88*3*151.67*50%/91.25</f>
        <v>53.314705972602738</v>
      </c>
      <c r="F7" s="935" t="s">
        <v>528</v>
      </c>
      <c r="G7" s="935"/>
    </row>
    <row r="8" spans="1:11" ht="41.25" customHeight="1" x14ac:dyDescent="0.3">
      <c r="B8" s="45" t="s">
        <v>419</v>
      </c>
      <c r="C8" s="463">
        <v>45717</v>
      </c>
      <c r="D8" s="464"/>
      <c r="E8" s="464"/>
      <c r="F8" s="464"/>
      <c r="G8" s="108"/>
    </row>
    <row r="9" spans="1:11" ht="41.25" customHeight="1" x14ac:dyDescent="0.3">
      <c r="B9" s="45" t="s">
        <v>420</v>
      </c>
      <c r="C9" s="463">
        <v>45747</v>
      </c>
      <c r="D9" s="464"/>
      <c r="E9" s="464"/>
      <c r="F9" s="464"/>
      <c r="G9" s="108"/>
    </row>
    <row r="10" spans="1:11" ht="41.25" customHeight="1" x14ac:dyDescent="0.3">
      <c r="B10" s="45" t="s">
        <v>421</v>
      </c>
      <c r="C10" s="465"/>
      <c r="D10" s="464"/>
      <c r="E10" s="464"/>
      <c r="F10" s="464"/>
      <c r="G10" s="108"/>
    </row>
    <row r="11" spans="1:11" ht="39.75" customHeight="1" x14ac:dyDescent="0.3">
      <c r="B11" s="462" t="s">
        <v>422</v>
      </c>
      <c r="C11" s="45">
        <f>C7-C6+1</f>
        <v>12</v>
      </c>
      <c r="D11" s="108"/>
      <c r="E11" s="108"/>
      <c r="F11" s="108"/>
      <c r="G11" s="108"/>
    </row>
    <row r="12" spans="1:11" ht="39.75" customHeight="1" x14ac:dyDescent="0.3">
      <c r="B12" s="462" t="s">
        <v>423</v>
      </c>
      <c r="C12" s="45">
        <v>3</v>
      </c>
      <c r="D12" s="108"/>
      <c r="E12" s="108"/>
      <c r="F12" s="108"/>
      <c r="G12" s="108"/>
    </row>
    <row r="13" spans="1:11" ht="39.75" customHeight="1" x14ac:dyDescent="0.3">
      <c r="B13" s="462" t="s">
        <v>424</v>
      </c>
      <c r="C13" s="45">
        <f>C11-C12</f>
        <v>9</v>
      </c>
      <c r="D13" s="634"/>
      <c r="E13" s="714"/>
      <c r="F13" s="714"/>
      <c r="G13" s="108"/>
    </row>
    <row r="14" spans="1:11" ht="39.75" customHeight="1" x14ac:dyDescent="0.3">
      <c r="B14" s="462" t="s">
        <v>425</v>
      </c>
      <c r="C14" s="45">
        <f ca="1">SUMPRODUCT((WEEKDAY(ROW(INDIRECT(C$6&amp;":"&amp;C$7)))=7)*1)</f>
        <v>2</v>
      </c>
      <c r="D14" s="108"/>
      <c r="E14" s="108"/>
      <c r="F14" s="108"/>
      <c r="G14" s="108"/>
    </row>
    <row r="15" spans="1:11" ht="39.75" customHeight="1" x14ac:dyDescent="0.3">
      <c r="B15" s="462" t="s">
        <v>426</v>
      </c>
      <c r="C15" s="45">
        <f ca="1">C11-C14</f>
        <v>10</v>
      </c>
      <c r="D15" s="108"/>
      <c r="E15" s="108"/>
      <c r="F15" s="108"/>
      <c r="G15" s="108"/>
    </row>
    <row r="16" spans="1:11" ht="39.75" customHeight="1" x14ac:dyDescent="0.3">
      <c r="B16" s="462" t="s">
        <v>427</v>
      </c>
      <c r="C16" s="45">
        <f>NETWORKDAYS(C6,C7)</f>
        <v>8</v>
      </c>
      <c r="D16" s="108"/>
      <c r="E16" s="108"/>
      <c r="F16" s="108"/>
      <c r="G16" s="108"/>
    </row>
    <row r="17" spans="1:10" ht="39.75" customHeight="1" x14ac:dyDescent="0.3">
      <c r="B17" s="588"/>
      <c r="C17" s="108"/>
      <c r="D17" s="108"/>
      <c r="E17" s="108"/>
      <c r="F17" s="108"/>
      <c r="G17" s="108"/>
    </row>
    <row r="18" spans="1:10" ht="39.75" customHeight="1" x14ac:dyDescent="0.3">
      <c r="B18" s="588"/>
      <c r="C18" s="108"/>
      <c r="D18" s="108"/>
      <c r="E18" s="108"/>
      <c r="F18" s="108"/>
      <c r="G18" s="108"/>
    </row>
    <row r="19" spans="1:10" ht="39.75" customHeight="1" x14ac:dyDescent="0.3">
      <c r="B19" s="588"/>
      <c r="C19" s="108"/>
      <c r="D19" s="108"/>
      <c r="E19" s="108"/>
      <c r="F19" s="108"/>
      <c r="G19" s="108"/>
    </row>
    <row r="20" spans="1:10" ht="23.25" customHeight="1" x14ac:dyDescent="0.3">
      <c r="B20" s="108"/>
      <c r="C20" s="108"/>
      <c r="D20" s="466"/>
      <c r="E20" s="466"/>
      <c r="F20" s="466"/>
      <c r="G20" s="466"/>
    </row>
    <row r="21" spans="1:10" ht="23.25" customHeight="1" x14ac:dyDescent="0.3">
      <c r="B21" s="45" t="s">
        <v>428</v>
      </c>
      <c r="C21" s="530">
        <v>11.88</v>
      </c>
      <c r="D21" s="833" t="s">
        <v>529</v>
      </c>
      <c r="E21" s="833"/>
      <c r="F21" s="108"/>
      <c r="G21" s="108"/>
    </row>
    <row r="22" spans="1:10" ht="23.25" customHeight="1" x14ac:dyDescent="0.3">
      <c r="B22" s="488" t="s">
        <v>429</v>
      </c>
      <c r="C22" s="531">
        <v>11.88</v>
      </c>
      <c r="D22" s="936" t="s">
        <v>530</v>
      </c>
      <c r="E22" s="937"/>
      <c r="F22" s="467"/>
      <c r="G22" s="467"/>
    </row>
    <row r="23" spans="1:10" x14ac:dyDescent="0.3">
      <c r="B23" s="45" t="s">
        <v>226</v>
      </c>
      <c r="C23" s="57" t="s">
        <v>265</v>
      </c>
      <c r="D23" s="57" t="s">
        <v>266</v>
      </c>
      <c r="E23" s="57" t="s">
        <v>267</v>
      </c>
      <c r="F23" s="57" t="s">
        <v>268</v>
      </c>
      <c r="G23" s="57" t="s">
        <v>531</v>
      </c>
      <c r="J23" s="532"/>
    </row>
    <row r="24" spans="1:10" ht="38.25" customHeight="1" x14ac:dyDescent="0.3">
      <c r="B24" s="938" t="s">
        <v>532</v>
      </c>
      <c r="C24" s="938"/>
      <c r="D24" s="938"/>
      <c r="E24" s="938"/>
      <c r="F24" s="938"/>
      <c r="G24" s="938"/>
      <c r="J24" s="532"/>
    </row>
    <row r="25" spans="1:10" ht="31.2" customHeight="1" x14ac:dyDescent="0.3">
      <c r="A25" s="45">
        <v>10</v>
      </c>
      <c r="B25" s="468" t="s">
        <v>430</v>
      </c>
      <c r="C25" s="469" t="s">
        <v>431</v>
      </c>
      <c r="D25" s="469" t="s">
        <v>432</v>
      </c>
      <c r="E25" s="469" t="s">
        <v>433</v>
      </c>
      <c r="F25" s="469" t="s">
        <v>434</v>
      </c>
      <c r="G25" s="469" t="s">
        <v>435</v>
      </c>
    </row>
    <row r="26" spans="1:10" ht="48.6" customHeight="1" x14ac:dyDescent="0.3">
      <c r="A26" s="45">
        <v>11</v>
      </c>
      <c r="B26" s="470" t="s">
        <v>436</v>
      </c>
      <c r="C26" s="930" t="s">
        <v>437</v>
      </c>
      <c r="D26" s="931"/>
      <c r="E26" s="471" t="s">
        <v>438</v>
      </c>
      <c r="F26" s="533" t="s">
        <v>533</v>
      </c>
      <c r="G26" s="471" t="s">
        <v>439</v>
      </c>
    </row>
    <row r="27" spans="1:10" ht="38.25" customHeight="1" x14ac:dyDescent="0.3">
      <c r="A27" s="45">
        <v>12</v>
      </c>
      <c r="B27" s="534" t="s">
        <v>440</v>
      </c>
      <c r="C27" s="472" t="s">
        <v>534</v>
      </c>
      <c r="D27" s="535" t="s">
        <v>535</v>
      </c>
      <c r="E27" s="473">
        <v>2800</v>
      </c>
      <c r="F27" s="536">
        <f>IF(C7&lt;C5,(IF(B27="202N",1.8*C21*151.67,1.8*C22*151.67)),(IF(B27="202N",1.4*C21*151.67,1.4*C21*151.67)))</f>
        <v>3243.3112799999999</v>
      </c>
      <c r="G27" s="475">
        <f>MIN(F27,E27)</f>
        <v>2800</v>
      </c>
    </row>
    <row r="28" spans="1:10" ht="38.25" customHeight="1" x14ac:dyDescent="0.3">
      <c r="A28" s="45">
        <v>13</v>
      </c>
      <c r="B28" s="534" t="s">
        <v>468</v>
      </c>
      <c r="C28" s="472" t="s">
        <v>536</v>
      </c>
      <c r="D28" s="535" t="s">
        <v>108</v>
      </c>
      <c r="E28" s="473">
        <v>2500</v>
      </c>
      <c r="F28" s="474">
        <f>F27</f>
        <v>3243.3112799999999</v>
      </c>
      <c r="G28" s="475">
        <f>MIN(F28,E28)</f>
        <v>2500</v>
      </c>
    </row>
    <row r="29" spans="1:10" ht="38.25" customHeight="1" x14ac:dyDescent="0.3">
      <c r="A29" s="45">
        <v>14</v>
      </c>
      <c r="B29" s="534" t="s">
        <v>468</v>
      </c>
      <c r="C29" s="472" t="s">
        <v>441</v>
      </c>
      <c r="D29" s="535" t="s">
        <v>130</v>
      </c>
      <c r="E29" s="473">
        <v>3300</v>
      </c>
      <c r="F29" s="474">
        <f>F28</f>
        <v>3243.3112799999999</v>
      </c>
      <c r="G29" s="475">
        <f>MIN(F29,E29)</f>
        <v>3243.3112799999999</v>
      </c>
    </row>
    <row r="30" spans="1:10" ht="38.25" customHeight="1" x14ac:dyDescent="0.3">
      <c r="B30" s="476"/>
      <c r="C30" s="476"/>
      <c r="D30" s="477"/>
      <c r="E30" s="477"/>
      <c r="F30" s="478" t="s">
        <v>95</v>
      </c>
      <c r="G30" s="473">
        <f>SUM(G27:G29)</f>
        <v>8543.3112799999999</v>
      </c>
    </row>
    <row r="31" spans="1:10" ht="38.25" customHeight="1" x14ac:dyDescent="0.3">
      <c r="B31" s="476"/>
      <c r="C31" s="476"/>
      <c r="D31" s="467"/>
      <c r="E31" s="467"/>
      <c r="F31" s="472" t="s">
        <v>442</v>
      </c>
      <c r="G31" s="473">
        <f>ROUND(G30*0.5/91.25,6)</f>
        <v>46.812665000000003</v>
      </c>
    </row>
    <row r="32" spans="1:10" ht="38.25" customHeight="1" x14ac:dyDescent="0.3">
      <c r="B32" s="476"/>
      <c r="C32" s="476"/>
      <c r="D32" s="467"/>
      <c r="E32" s="467"/>
      <c r="F32" s="479" t="s">
        <v>443</v>
      </c>
      <c r="G32" s="480">
        <f>C13</f>
        <v>9</v>
      </c>
    </row>
    <row r="33" spans="2:9" ht="38.25" customHeight="1" x14ac:dyDescent="0.3">
      <c r="B33" s="476"/>
      <c r="C33" s="476"/>
      <c r="D33" s="467"/>
      <c r="E33" s="467"/>
      <c r="F33" s="472" t="s">
        <v>444</v>
      </c>
      <c r="G33" s="473">
        <f>ROUND(G31*G32,2)</f>
        <v>421.31</v>
      </c>
    </row>
    <row r="34" spans="2:9" ht="38.25" customHeight="1" x14ac:dyDescent="0.3">
      <c r="B34" s="476"/>
      <c r="C34" s="476"/>
      <c r="D34" s="467"/>
      <c r="E34" s="467"/>
      <c r="F34" s="472" t="s">
        <v>445</v>
      </c>
      <c r="G34" s="473">
        <f>ROUND(G33*0.933,2)</f>
        <v>393.08</v>
      </c>
    </row>
    <row r="35" spans="2:9" ht="38.25" customHeight="1" x14ac:dyDescent="0.3">
      <c r="B35" s="476"/>
      <c r="C35" s="476"/>
      <c r="D35" s="467"/>
      <c r="E35" s="467"/>
      <c r="F35" s="537" t="s">
        <v>446</v>
      </c>
      <c r="G35" s="473">
        <f>G33*2.9%</f>
        <v>12.217989999999999</v>
      </c>
      <c r="H35" s="634" t="s">
        <v>447</v>
      </c>
      <c r="I35" s="714"/>
    </row>
    <row r="36" spans="2:9" ht="38.25" customHeight="1" x14ac:dyDescent="0.3">
      <c r="F36" s="537" t="s">
        <v>448</v>
      </c>
      <c r="G36" s="473">
        <f>G33*3.8%</f>
        <v>16.009779999999999</v>
      </c>
      <c r="H36" s="634"/>
      <c r="I36" s="714"/>
    </row>
    <row r="37" spans="2:9" ht="105" customHeight="1" x14ac:dyDescent="0.3"/>
    <row r="38" spans="2:9" ht="33.75" customHeight="1" x14ac:dyDescent="0.3">
      <c r="B38" s="932" t="s">
        <v>449</v>
      </c>
      <c r="C38" s="933"/>
      <c r="D38" s="933"/>
      <c r="E38" s="933"/>
      <c r="F38" s="933"/>
      <c r="G38" s="934"/>
    </row>
    <row r="39" spans="2:9" ht="33" customHeight="1" x14ac:dyDescent="0.3">
      <c r="B39" s="538" t="s">
        <v>417</v>
      </c>
      <c r="C39" s="539">
        <f>C6</f>
        <v>45736</v>
      </c>
      <c r="D39" s="482"/>
      <c r="E39" s="482"/>
      <c r="F39" s="482"/>
      <c r="G39" s="52"/>
    </row>
    <row r="40" spans="2:9" ht="33" customHeight="1" x14ac:dyDescent="0.3">
      <c r="B40" s="143" t="s">
        <v>418</v>
      </c>
      <c r="C40" s="481">
        <f>C7</f>
        <v>45747</v>
      </c>
      <c r="D40" s="482"/>
      <c r="E40" s="482"/>
      <c r="F40" s="482"/>
      <c r="G40" s="7"/>
    </row>
    <row r="41" spans="2:9" ht="33" customHeight="1" x14ac:dyDescent="0.3">
      <c r="B41" s="143" t="s">
        <v>419</v>
      </c>
      <c r="C41" s="481">
        <f>C8</f>
        <v>45717</v>
      </c>
      <c r="D41" s="464"/>
      <c r="E41" s="464"/>
      <c r="F41" s="464"/>
      <c r="G41" s="108"/>
    </row>
    <row r="42" spans="2:9" ht="33" customHeight="1" x14ac:dyDescent="0.3">
      <c r="B42" s="143" t="s">
        <v>420</v>
      </c>
      <c r="C42" s="481">
        <f>C9</f>
        <v>45747</v>
      </c>
      <c r="D42" s="464"/>
      <c r="E42" s="464"/>
      <c r="F42" s="464"/>
      <c r="G42" s="108"/>
    </row>
    <row r="43" spans="2:9" ht="33" customHeight="1" x14ac:dyDescent="0.3">
      <c r="B43" s="143" t="s">
        <v>450</v>
      </c>
      <c r="C43" s="483">
        <f>C10</f>
        <v>0</v>
      </c>
      <c r="D43" s="108"/>
      <c r="E43" s="108"/>
      <c r="F43" s="108"/>
      <c r="G43" s="108"/>
    </row>
    <row r="44" spans="2:9" ht="33.75" customHeight="1" x14ac:dyDescent="0.3">
      <c r="B44" s="484" t="s">
        <v>422</v>
      </c>
      <c r="C44" s="484">
        <f>C40-C39+1</f>
        <v>12</v>
      </c>
      <c r="D44" s="108"/>
      <c r="E44" s="108"/>
      <c r="F44" s="108"/>
      <c r="G44" s="108"/>
    </row>
    <row r="45" spans="2:9" ht="33.75" customHeight="1" x14ac:dyDescent="0.3">
      <c r="B45" s="485" t="s">
        <v>451</v>
      </c>
      <c r="C45" s="485">
        <f ca="1">SUMPRODUCT((WEEKDAY(ROW(INDIRECT(C$39&amp;":"&amp;C$40)))=7)*1)</f>
        <v>2</v>
      </c>
      <c r="D45" s="108"/>
      <c r="E45" s="108"/>
      <c r="F45" s="108"/>
      <c r="G45" s="108"/>
    </row>
    <row r="46" spans="2:9" ht="33.75" customHeight="1" x14ac:dyDescent="0.3">
      <c r="B46" s="484" t="s">
        <v>452</v>
      </c>
      <c r="C46" s="484">
        <f>NETWORKDAYS(C39,C40)</f>
        <v>8</v>
      </c>
      <c r="D46" s="108"/>
      <c r="E46" s="108"/>
      <c r="F46" s="108"/>
      <c r="G46" s="108"/>
    </row>
    <row r="47" spans="2:9" ht="57" customHeight="1" x14ac:dyDescent="0.3">
      <c r="B47" s="484" t="s">
        <v>453</v>
      </c>
      <c r="C47" s="484">
        <f ca="1">C44-C45</f>
        <v>10</v>
      </c>
      <c r="D47" s="108"/>
      <c r="E47" s="108"/>
      <c r="F47" s="108"/>
      <c r="G47" s="108"/>
    </row>
    <row r="48" spans="2:9" ht="50.4" customHeight="1" x14ac:dyDescent="0.3">
      <c r="B48" s="486" t="s">
        <v>454</v>
      </c>
      <c r="C48" s="486"/>
      <c r="D48" s="52"/>
      <c r="E48" s="52"/>
      <c r="F48" s="52"/>
      <c r="G48" s="52"/>
    </row>
    <row r="49" spans="2:7" ht="48" customHeight="1" x14ac:dyDescent="0.3">
      <c r="B49" s="486" t="s">
        <v>455</v>
      </c>
      <c r="C49" s="486"/>
      <c r="D49" s="52"/>
      <c r="E49" s="52"/>
      <c r="F49" s="52"/>
      <c r="G49" s="52"/>
    </row>
    <row r="50" spans="2:7" ht="45.6" customHeight="1" x14ac:dyDescent="0.3">
      <c r="B50" s="487" t="s">
        <v>456</v>
      </c>
      <c r="C50" s="484">
        <v>147</v>
      </c>
      <c r="D50" s="108"/>
      <c r="E50" s="108"/>
      <c r="F50" s="108"/>
      <c r="G50" s="108"/>
    </row>
    <row r="51" spans="2:7" ht="44.4" customHeight="1" x14ac:dyDescent="0.3">
      <c r="B51" s="485" t="s">
        <v>457</v>
      </c>
      <c r="C51" s="485">
        <f>NETWORKDAYS(C41,C42)</f>
        <v>21</v>
      </c>
      <c r="D51" s="108"/>
      <c r="E51" s="108"/>
      <c r="F51" s="108"/>
      <c r="G51" s="108"/>
    </row>
    <row r="52" spans="2:7" ht="38.25" customHeight="1" x14ac:dyDescent="0.3">
      <c r="B52" s="484" t="s">
        <v>458</v>
      </c>
      <c r="C52" s="484">
        <f>ROUND(C43*C46/C51,2)</f>
        <v>0</v>
      </c>
      <c r="D52" s="108"/>
      <c r="E52" s="108"/>
      <c r="F52" s="108"/>
      <c r="G52" s="108"/>
    </row>
    <row r="53" spans="2:7" ht="28.5" customHeight="1" x14ac:dyDescent="0.3">
      <c r="B53" s="484" t="s">
        <v>459</v>
      </c>
      <c r="C53" s="484">
        <f>ROUND(C43*C46/22,2)</f>
        <v>0</v>
      </c>
      <c r="D53" s="108"/>
      <c r="E53" s="108"/>
      <c r="F53" s="108"/>
      <c r="G53" s="108"/>
    </row>
    <row r="54" spans="2:7" ht="41.25" customHeight="1" x14ac:dyDescent="0.3">
      <c r="B54" s="484" t="s">
        <v>460</v>
      </c>
      <c r="C54" s="484">
        <f>ROUND(C43*C46/21.67,2)</f>
        <v>0</v>
      </c>
      <c r="D54" s="108"/>
      <c r="E54" s="108"/>
      <c r="F54" s="108"/>
      <c r="G54" s="108"/>
    </row>
    <row r="55" spans="2:7" ht="36" customHeight="1" x14ac:dyDescent="0.3">
      <c r="B55" s="485" t="s">
        <v>461</v>
      </c>
      <c r="C55" s="485">
        <f>C42-C41+1</f>
        <v>31</v>
      </c>
      <c r="D55" s="108"/>
      <c r="E55" s="108"/>
      <c r="F55" s="108"/>
      <c r="G55" s="108"/>
    </row>
    <row r="56" spans="2:7" ht="39" customHeight="1" x14ac:dyDescent="0.3">
      <c r="B56" s="484" t="s">
        <v>462</v>
      </c>
      <c r="C56" s="484">
        <f>ROUND(C43*C44/C55,2)</f>
        <v>0</v>
      </c>
      <c r="D56" s="108"/>
      <c r="E56" s="108"/>
      <c r="F56" s="108"/>
      <c r="G56" s="108"/>
    </row>
    <row r="57" spans="2:7" ht="42.6" customHeight="1" x14ac:dyDescent="0.3">
      <c r="B57" s="484" t="s">
        <v>463</v>
      </c>
      <c r="C57" s="484">
        <f>ROUND(C43*C44/30,2)</f>
        <v>0</v>
      </c>
      <c r="D57" s="108"/>
      <c r="E57" s="108"/>
      <c r="F57" s="108"/>
      <c r="G57" s="108"/>
    </row>
    <row r="58" spans="2:7" ht="36" customHeight="1" x14ac:dyDescent="0.3">
      <c r="B58" s="485" t="s">
        <v>464</v>
      </c>
      <c r="C58" s="485">
        <f ca="1">SUMPRODUCT((WEEKDAY(ROW(INDIRECT($C41&amp;":"&amp;$C42)))=7)*1)</f>
        <v>5</v>
      </c>
      <c r="D58" s="108"/>
      <c r="E58" s="108"/>
      <c r="F58" s="108"/>
      <c r="G58" s="108"/>
    </row>
    <row r="59" spans="2:7" ht="36" customHeight="1" x14ac:dyDescent="0.3">
      <c r="B59" s="485" t="s">
        <v>465</v>
      </c>
      <c r="C59" s="485">
        <f ca="1">C55-C58</f>
        <v>26</v>
      </c>
      <c r="D59" s="108"/>
      <c r="E59" s="108"/>
      <c r="F59" s="108"/>
      <c r="G59" s="108"/>
    </row>
    <row r="60" spans="2:7" ht="39.75" customHeight="1" x14ac:dyDescent="0.3">
      <c r="B60" s="484" t="s">
        <v>466</v>
      </c>
      <c r="C60" s="484">
        <f ca="1">ROUND(C43*C47/C59,2)</f>
        <v>0</v>
      </c>
      <c r="D60" s="108"/>
      <c r="E60" s="108"/>
      <c r="F60" s="108"/>
      <c r="G60" s="108"/>
    </row>
    <row r="61" spans="2:7" ht="39.75" customHeight="1" x14ac:dyDescent="0.3">
      <c r="B61" s="484" t="s">
        <v>467</v>
      </c>
      <c r="C61" s="484">
        <f ca="1">ROUND(C43*C47/26,2)</f>
        <v>0</v>
      </c>
      <c r="D61" s="108"/>
      <c r="E61" s="108"/>
      <c r="F61" s="108"/>
      <c r="G61" s="108"/>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47" t="s">
        <v>771</v>
      </c>
      <c r="C1" s="947"/>
      <c r="D1" s="947"/>
      <c r="E1" s="947"/>
      <c r="F1" s="947"/>
      <c r="G1" s="947"/>
    </row>
    <row r="2" spans="2:7" ht="26.4" customHeight="1" x14ac:dyDescent="0.3">
      <c r="B2" s="940" t="s">
        <v>772</v>
      </c>
      <c r="C2" s="940"/>
      <c r="D2" s="940"/>
      <c r="E2" s="940"/>
      <c r="F2" s="940"/>
      <c r="G2" s="940"/>
    </row>
    <row r="3" spans="2:7" ht="23.25" customHeight="1" x14ac:dyDescent="0.3">
      <c r="B3" s="833" t="s">
        <v>525</v>
      </c>
      <c r="C3" s="833"/>
      <c r="D3" s="941" t="s">
        <v>526</v>
      </c>
      <c r="E3" s="941"/>
      <c r="F3" s="941"/>
      <c r="G3" s="941"/>
    </row>
    <row r="4" spans="2:7" ht="26.4" customHeight="1" x14ac:dyDescent="0.3">
      <c r="B4" s="942" t="s">
        <v>416</v>
      </c>
      <c r="C4" s="943"/>
      <c r="D4" s="108"/>
      <c r="F4" s="108"/>
      <c r="G4" s="108"/>
    </row>
    <row r="5" spans="2:7" ht="28.2" customHeight="1" x14ac:dyDescent="0.3">
      <c r="B5" s="462" t="s">
        <v>773</v>
      </c>
      <c r="C5" s="463">
        <v>45748</v>
      </c>
      <c r="E5" s="635">
        <f>ROUND(1.4*11.88*151.67*3*50%/91.25,2)</f>
        <v>41.47</v>
      </c>
      <c r="F5" s="833" t="s">
        <v>527</v>
      </c>
      <c r="G5" s="833"/>
    </row>
    <row r="6" spans="2:7" ht="41.25" customHeight="1" x14ac:dyDescent="0.3">
      <c r="B6" s="462" t="s">
        <v>417</v>
      </c>
      <c r="C6" s="463">
        <v>45757</v>
      </c>
      <c r="D6" s="464"/>
      <c r="E6" s="635"/>
      <c r="F6" s="833"/>
      <c r="G6" s="833"/>
    </row>
    <row r="7" spans="2:7" ht="41.25" customHeight="1" x14ac:dyDescent="0.3">
      <c r="B7" s="462" t="s">
        <v>418</v>
      </c>
      <c r="C7" s="463">
        <v>45802</v>
      </c>
      <c r="D7" s="464"/>
      <c r="E7" s="464"/>
      <c r="F7" s="464"/>
      <c r="G7" s="464"/>
    </row>
    <row r="8" spans="2:7" ht="41.25" customHeight="1" x14ac:dyDescent="0.3">
      <c r="B8" s="45" t="s">
        <v>419</v>
      </c>
      <c r="C8" s="463">
        <v>45748</v>
      </c>
      <c r="D8" s="464"/>
      <c r="E8" s="464"/>
      <c r="F8" s="464"/>
      <c r="G8" s="108"/>
    </row>
    <row r="9" spans="2:7" ht="41.25" customHeight="1" x14ac:dyDescent="0.3">
      <c r="B9" s="45" t="s">
        <v>420</v>
      </c>
      <c r="C9" s="463" t="s">
        <v>774</v>
      </c>
      <c r="D9" s="464"/>
      <c r="E9" s="464"/>
      <c r="F9" s="464"/>
      <c r="G9" s="108"/>
    </row>
    <row r="10" spans="2:7" ht="41.25" customHeight="1" x14ac:dyDescent="0.3">
      <c r="B10" s="45" t="s">
        <v>421</v>
      </c>
      <c r="C10" s="465"/>
      <c r="D10" s="464"/>
      <c r="E10" s="464"/>
      <c r="F10" s="464"/>
      <c r="G10" s="108"/>
    </row>
    <row r="11" spans="2:7" ht="39.75" customHeight="1" x14ac:dyDescent="0.3">
      <c r="B11" s="462" t="s">
        <v>422</v>
      </c>
      <c r="C11" s="45">
        <f>C7-C6+1</f>
        <v>46</v>
      </c>
      <c r="D11" s="108"/>
      <c r="E11" s="108"/>
      <c r="F11" s="108"/>
      <c r="G11" s="108"/>
    </row>
    <row r="12" spans="2:7" ht="39.75" customHeight="1" x14ac:dyDescent="0.3">
      <c r="B12" s="462" t="s">
        <v>423</v>
      </c>
      <c r="C12" s="45">
        <v>3</v>
      </c>
      <c r="D12" s="108"/>
      <c r="E12" s="108"/>
      <c r="F12" s="108"/>
      <c r="G12" s="108"/>
    </row>
    <row r="13" spans="2:7" ht="39.75" customHeight="1" x14ac:dyDescent="0.3">
      <c r="B13" s="462" t="s">
        <v>424</v>
      </c>
      <c r="C13" s="45">
        <f>C11-C12</f>
        <v>43</v>
      </c>
      <c r="D13" s="634"/>
      <c r="E13" s="714"/>
      <c r="F13" s="714"/>
      <c r="G13" s="108"/>
    </row>
    <row r="14" spans="2:7" ht="39.75" customHeight="1" x14ac:dyDescent="0.3">
      <c r="B14" s="462" t="s">
        <v>425</v>
      </c>
      <c r="C14" s="45">
        <f ca="1">SUMPRODUCT((WEEKDAY(ROW(INDIRECT(C$6&amp;":"&amp;C$7)))=7)*1)</f>
        <v>7</v>
      </c>
      <c r="D14" s="108"/>
      <c r="E14" s="108"/>
      <c r="F14" s="108"/>
      <c r="G14" s="108"/>
    </row>
    <row r="15" spans="2:7" ht="39.75" customHeight="1" x14ac:dyDescent="0.3">
      <c r="B15" s="462" t="s">
        <v>426</v>
      </c>
      <c r="C15" s="45">
        <f ca="1">C11-C14</f>
        <v>39</v>
      </c>
      <c r="D15" s="108"/>
      <c r="E15" s="108"/>
      <c r="F15" s="108"/>
      <c r="G15" s="108"/>
    </row>
    <row r="16" spans="2:7" ht="39.75" customHeight="1" x14ac:dyDescent="0.3">
      <c r="B16" s="462" t="s">
        <v>427</v>
      </c>
      <c r="C16" s="45">
        <f>NETWORKDAYS(C6,C7)</f>
        <v>32</v>
      </c>
      <c r="D16" s="108"/>
      <c r="E16" s="108"/>
      <c r="F16" s="108"/>
      <c r="G16" s="108"/>
    </row>
    <row r="17" spans="2:10" ht="39.75" customHeight="1" x14ac:dyDescent="0.3">
      <c r="B17" s="588"/>
      <c r="C17" s="108"/>
      <c r="D17" s="108"/>
      <c r="E17" s="108"/>
      <c r="F17" s="108"/>
      <c r="G17" s="108"/>
    </row>
    <row r="18" spans="2:10" ht="39.75" customHeight="1" x14ac:dyDescent="0.3">
      <c r="B18" s="588"/>
      <c r="C18" s="108"/>
      <c r="D18" s="108"/>
      <c r="E18" s="108"/>
      <c r="F18" s="108"/>
      <c r="G18" s="108"/>
    </row>
    <row r="19" spans="2:10" ht="39.75" customHeight="1" x14ac:dyDescent="0.3">
      <c r="B19" s="588"/>
      <c r="C19" s="108"/>
      <c r="D19" s="108"/>
      <c r="E19" s="108"/>
      <c r="F19" s="108"/>
      <c r="G19" s="108"/>
    </row>
    <row r="20" spans="2:10" ht="39.75" customHeight="1" x14ac:dyDescent="0.3">
      <c r="B20" s="588"/>
      <c r="C20" s="108"/>
      <c r="D20" s="108"/>
      <c r="E20" s="108"/>
      <c r="F20" s="108"/>
      <c r="G20" s="108"/>
    </row>
    <row r="21" spans="2:10" ht="23.25" customHeight="1" x14ac:dyDescent="0.3">
      <c r="B21" s="45" t="s">
        <v>428</v>
      </c>
      <c r="C21" s="626">
        <v>11.88</v>
      </c>
      <c r="D21" s="833" t="s">
        <v>529</v>
      </c>
      <c r="E21" s="833"/>
      <c r="F21" s="108"/>
      <c r="G21" s="108"/>
    </row>
    <row r="22" spans="2:10" ht="23.25" customHeight="1" x14ac:dyDescent="0.3">
      <c r="B22" s="45" t="s">
        <v>429</v>
      </c>
      <c r="C22" s="550">
        <v>11.88</v>
      </c>
      <c r="D22" s="944" t="s">
        <v>530</v>
      </c>
      <c r="E22" s="945"/>
      <c r="F22" s="467"/>
      <c r="G22" s="467"/>
    </row>
    <row r="23" spans="2:10" x14ac:dyDescent="0.3">
      <c r="J23" s="532"/>
    </row>
    <row r="24" spans="2:10" ht="38.25" customHeight="1" x14ac:dyDescent="0.3">
      <c r="B24" s="946" t="s">
        <v>775</v>
      </c>
      <c r="C24" s="946"/>
      <c r="D24" s="946"/>
      <c r="E24" s="946"/>
      <c r="F24" s="946"/>
      <c r="G24" s="946"/>
      <c r="J24" s="532"/>
    </row>
    <row r="25" spans="2:10" x14ac:dyDescent="0.3">
      <c r="B25" s="468" t="s">
        <v>430</v>
      </c>
      <c r="C25" s="469" t="s">
        <v>431</v>
      </c>
      <c r="D25" s="469" t="s">
        <v>432</v>
      </c>
      <c r="E25" s="469" t="s">
        <v>433</v>
      </c>
      <c r="F25" s="469" t="s">
        <v>434</v>
      </c>
      <c r="G25" s="469" t="s">
        <v>435</v>
      </c>
    </row>
    <row r="26" spans="2:10" ht="48.6" customHeight="1" x14ac:dyDescent="0.3">
      <c r="B26" s="470" t="s">
        <v>436</v>
      </c>
      <c r="C26" s="930" t="s">
        <v>437</v>
      </c>
      <c r="D26" s="931"/>
      <c r="E26" s="471" t="s">
        <v>438</v>
      </c>
      <c r="F26" s="533" t="s">
        <v>533</v>
      </c>
      <c r="G26" s="471" t="s">
        <v>439</v>
      </c>
    </row>
    <row r="27" spans="2:10" ht="38.25" customHeight="1" x14ac:dyDescent="0.3">
      <c r="B27" s="580" t="s">
        <v>468</v>
      </c>
      <c r="C27" s="472" t="s">
        <v>776</v>
      </c>
      <c r="D27" s="581" t="s">
        <v>108</v>
      </c>
      <c r="E27" s="473">
        <v>2600</v>
      </c>
      <c r="F27" s="536">
        <f>IF(C7&lt;C5,(IF(B27="202N",1.8*C21*151.67,1.8*C22*151.67)),(IF(B27="202N",1.4*C21*151.67,1.4*C21*151.67)))</f>
        <v>2522.5754400000001</v>
      </c>
      <c r="G27" s="475">
        <f>MIN(F27,E27)</f>
        <v>2522.5754400000001</v>
      </c>
    </row>
    <row r="28" spans="2:10" ht="38.25" customHeight="1" x14ac:dyDescent="0.3">
      <c r="B28" s="580" t="s">
        <v>468</v>
      </c>
      <c r="C28" s="472" t="s">
        <v>777</v>
      </c>
      <c r="D28" s="581" t="s">
        <v>130</v>
      </c>
      <c r="E28" s="473">
        <v>2200</v>
      </c>
      <c r="F28" s="474">
        <f>F27</f>
        <v>2522.5754400000001</v>
      </c>
      <c r="G28" s="475">
        <f>MIN(F28,E28)</f>
        <v>2200</v>
      </c>
    </row>
    <row r="29" spans="2:10" ht="38.25" customHeight="1" x14ac:dyDescent="0.3">
      <c r="B29" s="580" t="s">
        <v>468</v>
      </c>
      <c r="C29" s="472" t="s">
        <v>441</v>
      </c>
      <c r="D29" s="581" t="s">
        <v>778</v>
      </c>
      <c r="E29" s="473">
        <v>2200</v>
      </c>
      <c r="F29" s="474">
        <f>F28</f>
        <v>2522.5754400000001</v>
      </c>
      <c r="G29" s="475">
        <f>MIN(F29,E29)</f>
        <v>2200</v>
      </c>
    </row>
    <row r="30" spans="2:10" ht="38.25" customHeight="1" x14ac:dyDescent="0.3">
      <c r="B30" s="476"/>
      <c r="C30" s="476"/>
      <c r="D30" s="477"/>
      <c r="E30" s="477"/>
      <c r="F30" s="478" t="s">
        <v>95</v>
      </c>
      <c r="G30" s="473">
        <f>SUM(G27:G29)</f>
        <v>6922.5754400000005</v>
      </c>
    </row>
    <row r="31" spans="2:10" ht="38.25" customHeight="1" x14ac:dyDescent="0.3">
      <c r="B31" s="476"/>
      <c r="C31" s="476"/>
      <c r="D31" s="467"/>
      <c r="E31" s="467"/>
      <c r="F31" s="472" t="s">
        <v>442</v>
      </c>
      <c r="G31" s="473">
        <f>ROUND(G30*0.5/91.25,6)</f>
        <v>37.931919999999998</v>
      </c>
    </row>
    <row r="32" spans="2:10" ht="38.25" customHeight="1" x14ac:dyDescent="0.3">
      <c r="B32" s="476"/>
      <c r="C32" s="476"/>
      <c r="D32" s="467"/>
      <c r="E32" s="467"/>
      <c r="F32" s="479" t="s">
        <v>443</v>
      </c>
      <c r="G32" s="480">
        <f>C13</f>
        <v>43</v>
      </c>
    </row>
    <row r="33" spans="2:9" ht="38.25" customHeight="1" x14ac:dyDescent="0.3">
      <c r="B33" s="476"/>
      <c r="C33" s="476"/>
      <c r="D33" s="467"/>
      <c r="E33" s="467"/>
      <c r="F33" s="472" t="s">
        <v>444</v>
      </c>
      <c r="G33" s="473">
        <f>ROUND(G31*G32,2)</f>
        <v>1631.07</v>
      </c>
    </row>
    <row r="34" spans="2:9" ht="38.25" customHeight="1" x14ac:dyDescent="0.3">
      <c r="B34" s="476"/>
      <c r="C34" s="476"/>
      <c r="D34" s="467"/>
      <c r="E34" s="467"/>
      <c r="F34" s="472" t="s">
        <v>445</v>
      </c>
      <c r="G34" s="473">
        <f>ROUND(G33*0.933,2)</f>
        <v>1521.79</v>
      </c>
    </row>
    <row r="35" spans="2:9" ht="38.25" customHeight="1" x14ac:dyDescent="0.3">
      <c r="B35" s="476"/>
      <c r="C35" s="476"/>
      <c r="D35" s="467"/>
      <c r="E35" s="467"/>
      <c r="F35" s="537" t="s">
        <v>446</v>
      </c>
      <c r="G35" s="473">
        <f>G33*2.9%</f>
        <v>47.301029999999997</v>
      </c>
      <c r="H35" s="634" t="s">
        <v>447</v>
      </c>
      <c r="I35" s="714"/>
    </row>
    <row r="36" spans="2:9" ht="38.25" customHeight="1" x14ac:dyDescent="0.3">
      <c r="F36" s="537" t="s">
        <v>448</v>
      </c>
      <c r="G36" s="473">
        <f>G33*3.8%</f>
        <v>61.980659999999993</v>
      </c>
      <c r="H36" s="634"/>
      <c r="I36" s="714"/>
    </row>
    <row r="37" spans="2:9" ht="38.25" customHeight="1" x14ac:dyDescent="0.3">
      <c r="F37" s="624"/>
      <c r="G37" s="625"/>
      <c r="H37" s="108"/>
      <c r="I37" s="108"/>
    </row>
    <row r="38" spans="2:9" ht="38.25" customHeight="1" x14ac:dyDescent="0.3">
      <c r="F38" s="624"/>
      <c r="G38" s="625"/>
      <c r="H38" s="108"/>
      <c r="I38" s="108"/>
    </row>
    <row r="39" spans="2:9" ht="42.6" customHeight="1" x14ac:dyDescent="0.3"/>
    <row r="40" spans="2:9" ht="33.75" customHeight="1" x14ac:dyDescent="0.3">
      <c r="B40" s="932" t="s">
        <v>449</v>
      </c>
      <c r="C40" s="933"/>
      <c r="D40" s="933"/>
      <c r="E40" s="933"/>
      <c r="F40" s="933"/>
      <c r="G40" s="934"/>
    </row>
    <row r="41" spans="2:9" ht="33" customHeight="1" x14ac:dyDescent="0.3">
      <c r="B41" s="538" t="s">
        <v>417</v>
      </c>
      <c r="C41" s="539">
        <f>C6</f>
        <v>45757</v>
      </c>
      <c r="D41" s="482"/>
      <c r="E41" s="482"/>
      <c r="F41" s="482"/>
      <c r="G41" s="52"/>
    </row>
    <row r="42" spans="2:9" ht="33" customHeight="1" x14ac:dyDescent="0.3">
      <c r="B42" s="143" t="s">
        <v>418</v>
      </c>
      <c r="C42" s="481">
        <f>C7</f>
        <v>45802</v>
      </c>
      <c r="D42" s="482"/>
      <c r="E42" s="482"/>
      <c r="F42" s="482"/>
      <c r="G42" s="7"/>
    </row>
    <row r="43" spans="2:9" ht="33" customHeight="1" x14ac:dyDescent="0.3">
      <c r="B43" s="143" t="s">
        <v>419</v>
      </c>
      <c r="C43" s="481">
        <f>C8</f>
        <v>45748</v>
      </c>
      <c r="D43" s="464"/>
      <c r="E43" s="464"/>
      <c r="F43" s="464"/>
      <c r="G43" s="108"/>
    </row>
    <row r="44" spans="2:9" ht="33" customHeight="1" x14ac:dyDescent="0.3">
      <c r="B44" s="143" t="s">
        <v>420</v>
      </c>
      <c r="C44" s="481" t="str">
        <f>C9</f>
        <v>31/04/2025</v>
      </c>
      <c r="D44" s="464"/>
      <c r="E44" s="464"/>
      <c r="F44" s="464"/>
      <c r="G44" s="108"/>
    </row>
    <row r="45" spans="2:9" ht="33" customHeight="1" x14ac:dyDescent="0.3">
      <c r="B45" s="143" t="s">
        <v>450</v>
      </c>
      <c r="C45" s="483">
        <f>C10</f>
        <v>0</v>
      </c>
      <c r="D45" s="108"/>
      <c r="E45" s="108"/>
      <c r="F45" s="108"/>
      <c r="G45" s="108"/>
    </row>
    <row r="46" spans="2:9" ht="33.75" customHeight="1" x14ac:dyDescent="0.3">
      <c r="B46" s="484" t="s">
        <v>422</v>
      </c>
      <c r="C46" s="484">
        <f>C42-C41+1</f>
        <v>46</v>
      </c>
      <c r="D46" s="108"/>
      <c r="E46" s="108"/>
      <c r="F46" s="108"/>
      <c r="G46" s="108"/>
    </row>
    <row r="47" spans="2:9" ht="33.75" customHeight="1" x14ac:dyDescent="0.3">
      <c r="B47" s="485" t="s">
        <v>451</v>
      </c>
      <c r="C47" s="485">
        <f ca="1">SUMPRODUCT((WEEKDAY(ROW(INDIRECT(C$41&amp;":"&amp;C$42)))=7)*1)</f>
        <v>7</v>
      </c>
      <c r="D47" s="108"/>
      <c r="E47" s="108"/>
      <c r="F47" s="108"/>
      <c r="G47" s="108"/>
    </row>
    <row r="48" spans="2:9" ht="33.75" customHeight="1" x14ac:dyDescent="0.3">
      <c r="B48" s="484" t="s">
        <v>452</v>
      </c>
      <c r="C48" s="484">
        <f>NETWORKDAYS(C41,C42)</f>
        <v>32</v>
      </c>
      <c r="D48" s="108"/>
      <c r="E48" s="108"/>
      <c r="F48" s="108"/>
      <c r="G48" s="108"/>
    </row>
    <row r="49" spans="2:7" ht="33.75" customHeight="1" x14ac:dyDescent="0.3">
      <c r="B49" s="484" t="s">
        <v>453</v>
      </c>
      <c r="C49" s="484">
        <f ca="1">C46-C47</f>
        <v>39</v>
      </c>
      <c r="D49" s="108"/>
      <c r="E49" s="108"/>
      <c r="F49" s="108"/>
      <c r="G49" s="108"/>
    </row>
    <row r="50" spans="2:7" ht="33.75" customHeight="1" x14ac:dyDescent="0.3">
      <c r="B50" s="486" t="s">
        <v>454</v>
      </c>
      <c r="C50" s="486"/>
      <c r="D50" s="52"/>
      <c r="E50" s="52"/>
      <c r="F50" s="52"/>
      <c r="G50" s="52"/>
    </row>
    <row r="51" spans="2:7" ht="35.25" customHeight="1" x14ac:dyDescent="0.3">
      <c r="B51" s="486" t="s">
        <v>455</v>
      </c>
      <c r="C51" s="486"/>
      <c r="D51" s="52"/>
      <c r="E51" s="52"/>
      <c r="F51" s="52"/>
      <c r="G51" s="52"/>
    </row>
    <row r="52" spans="2:7" ht="38.25" customHeight="1" x14ac:dyDescent="0.3">
      <c r="B52" s="487" t="s">
        <v>456</v>
      </c>
      <c r="C52" s="484">
        <v>147</v>
      </c>
      <c r="D52" s="108"/>
      <c r="E52" s="108"/>
      <c r="F52" s="108"/>
      <c r="G52" s="108"/>
    </row>
    <row r="53" spans="2:7" ht="28.5" customHeight="1" x14ac:dyDescent="0.3">
      <c r="B53" s="485" t="s">
        <v>457</v>
      </c>
      <c r="C53" s="485" t="e">
        <f>NETWORKDAYS(C43,C44)</f>
        <v>#VALUE!</v>
      </c>
      <c r="D53" s="108"/>
      <c r="E53" s="108"/>
      <c r="F53" s="108"/>
      <c r="G53" s="108"/>
    </row>
    <row r="54" spans="2:7" ht="41.25" customHeight="1" x14ac:dyDescent="0.3">
      <c r="B54" s="484" t="s">
        <v>458</v>
      </c>
      <c r="C54" s="484" t="e">
        <f>ROUND(C45*C48/C53,2)</f>
        <v>#VALUE!</v>
      </c>
      <c r="D54" s="108"/>
      <c r="E54" s="108"/>
      <c r="F54" s="108"/>
      <c r="G54" s="108"/>
    </row>
    <row r="55" spans="2:7" ht="36" customHeight="1" x14ac:dyDescent="0.3">
      <c r="B55" s="484" t="s">
        <v>459</v>
      </c>
      <c r="C55" s="484">
        <f>ROUND(C45*C48/22,2)</f>
        <v>0</v>
      </c>
      <c r="D55" s="108"/>
      <c r="E55" s="108"/>
      <c r="F55" s="108"/>
      <c r="G55" s="108"/>
    </row>
    <row r="56" spans="2:7" ht="39" customHeight="1" x14ac:dyDescent="0.3">
      <c r="B56" s="484" t="s">
        <v>460</v>
      </c>
      <c r="C56" s="484">
        <f>ROUND(C45*C48/21.67,2)</f>
        <v>0</v>
      </c>
      <c r="D56" s="108"/>
      <c r="E56" s="108"/>
      <c r="F56" s="108"/>
      <c r="G56" s="108"/>
    </row>
    <row r="57" spans="2:7" ht="35.25" customHeight="1" x14ac:dyDescent="0.3">
      <c r="B57" s="485" t="s">
        <v>461</v>
      </c>
      <c r="C57" s="485" t="e">
        <f>C44-C43+1</f>
        <v>#VALUE!</v>
      </c>
      <c r="D57" s="108"/>
      <c r="E57" s="108"/>
      <c r="F57" s="108"/>
      <c r="G57" s="108"/>
    </row>
    <row r="58" spans="2:7" ht="36" customHeight="1" x14ac:dyDescent="0.3">
      <c r="B58" s="484" t="s">
        <v>462</v>
      </c>
      <c r="C58" s="484" t="e">
        <f>ROUND(C45*C46/C57,2)</f>
        <v>#VALUE!</v>
      </c>
      <c r="D58" s="108"/>
      <c r="E58" s="108"/>
      <c r="F58" s="108"/>
      <c r="G58" s="108"/>
    </row>
    <row r="59" spans="2:7" ht="36" customHeight="1" x14ac:dyDescent="0.3">
      <c r="B59" s="484" t="s">
        <v>463</v>
      </c>
      <c r="C59" s="484">
        <f>ROUND(C45*C46/30,2)</f>
        <v>0</v>
      </c>
      <c r="D59" s="108"/>
      <c r="E59" s="108"/>
      <c r="F59" s="108"/>
      <c r="G59" s="108"/>
    </row>
    <row r="60" spans="2:7" ht="39.75" customHeight="1" x14ac:dyDescent="0.3">
      <c r="B60" s="485" t="s">
        <v>464</v>
      </c>
      <c r="C60" s="485" t="e">
        <f ca="1">SUMPRODUCT((WEEKDAY(ROW(INDIRECT($C43&amp;":"&amp;$C44)))=7)*1)</f>
        <v>#REF!</v>
      </c>
      <c r="D60" s="108"/>
      <c r="E60" s="108"/>
      <c r="F60" s="108"/>
      <c r="G60" s="108"/>
    </row>
    <row r="61" spans="2:7" ht="39.75" customHeight="1" x14ac:dyDescent="0.3">
      <c r="B61" s="485" t="s">
        <v>465</v>
      </c>
      <c r="C61" s="485" t="e">
        <f ca="1">C57-C60</f>
        <v>#VALUE!</v>
      </c>
      <c r="D61" s="108"/>
      <c r="E61" s="108"/>
      <c r="F61" s="108"/>
      <c r="G61" s="108"/>
    </row>
    <row r="62" spans="2:7" ht="51.75" customHeight="1" x14ac:dyDescent="0.3">
      <c r="B62" s="484" t="s">
        <v>466</v>
      </c>
      <c r="C62" s="484" t="e">
        <f ca="1">ROUND(C45*C49/C61,2)</f>
        <v>#VALUE!</v>
      </c>
      <c r="D62" s="108"/>
      <c r="E62" s="108"/>
      <c r="F62" s="108"/>
      <c r="G62" s="108"/>
    </row>
    <row r="63" spans="2:7" ht="51.75" customHeight="1" x14ac:dyDescent="0.3">
      <c r="B63" s="484" t="s">
        <v>467</v>
      </c>
      <c r="C63" s="484">
        <f ca="1">ROUND(C45*C49/26,2)</f>
        <v>0</v>
      </c>
      <c r="D63" s="108"/>
      <c r="E63" s="108"/>
      <c r="F63" s="108"/>
      <c r="G63" s="108"/>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694</v>
      </c>
    </row>
    <row r="5" spans="2:4" x14ac:dyDescent="0.3">
      <c r="C5" s="187" t="s">
        <v>695</v>
      </c>
    </row>
    <row r="6" spans="2:4" x14ac:dyDescent="0.3">
      <c r="C6" s="187" t="s">
        <v>696</v>
      </c>
    </row>
    <row r="8" spans="2:4" x14ac:dyDescent="0.3">
      <c r="B8" s="187" t="s">
        <v>697</v>
      </c>
    </row>
    <row r="9" spans="2:4" x14ac:dyDescent="0.3">
      <c r="B9" s="187" t="s">
        <v>769</v>
      </c>
    </row>
    <row r="11" spans="2:4" x14ac:dyDescent="0.3">
      <c r="C11" s="187" t="s">
        <v>698</v>
      </c>
    </row>
    <row r="13" spans="2:4" x14ac:dyDescent="0.3">
      <c r="D13" s="187" t="s">
        <v>763</v>
      </c>
    </row>
    <row r="14" spans="2:4" x14ac:dyDescent="0.3">
      <c r="D14" s="187" t="s">
        <v>544</v>
      </c>
    </row>
    <row r="15" spans="2:4" x14ac:dyDescent="0.3">
      <c r="D15" s="187" t="s">
        <v>699</v>
      </c>
    </row>
    <row r="16" spans="2:4" x14ac:dyDescent="0.3">
      <c r="D16" s="187" t="s">
        <v>700</v>
      </c>
    </row>
    <row r="17" spans="4:7" x14ac:dyDescent="0.3">
      <c r="D17" s="187" t="s">
        <v>701</v>
      </c>
      <c r="G17" s="187" t="s">
        <v>702</v>
      </c>
    </row>
    <row r="18" spans="4:7" x14ac:dyDescent="0.3">
      <c r="D18" s="187" t="s">
        <v>553</v>
      </c>
    </row>
    <row r="19" spans="4:7" x14ac:dyDescent="0.3">
      <c r="D19" s="187" t="s">
        <v>703</v>
      </c>
      <c r="G19" s="58" t="s">
        <v>704</v>
      </c>
    </row>
    <row r="20" spans="4:7" x14ac:dyDescent="0.3">
      <c r="G20" s="187" t="s">
        <v>705</v>
      </c>
    </row>
    <row r="21" spans="4:7" x14ac:dyDescent="0.3">
      <c r="D21" s="187" t="s">
        <v>706</v>
      </c>
      <c r="G21" s="187" t="s">
        <v>707</v>
      </c>
    </row>
    <row r="22" spans="4:7" x14ac:dyDescent="0.3">
      <c r="G22" s="187" t="s">
        <v>708</v>
      </c>
    </row>
    <row r="23" spans="4:7" x14ac:dyDescent="0.3">
      <c r="D23" s="187" t="s">
        <v>709</v>
      </c>
      <c r="G23" s="187" t="s">
        <v>764</v>
      </c>
    </row>
    <row r="24" spans="4:7" x14ac:dyDescent="0.3">
      <c r="D24" s="187" t="s">
        <v>710</v>
      </c>
      <c r="G24" s="187" t="s">
        <v>711</v>
      </c>
    </row>
    <row r="25" spans="4:7" x14ac:dyDescent="0.3">
      <c r="D25" s="187" t="s">
        <v>712</v>
      </c>
      <c r="G25" s="527" t="s">
        <v>713</v>
      </c>
    </row>
    <row r="26" spans="4:7" x14ac:dyDescent="0.3">
      <c r="D26" s="187" t="s">
        <v>714</v>
      </c>
      <c r="G26" s="187" t="s">
        <v>715</v>
      </c>
    </row>
    <row r="27" spans="4:7" x14ac:dyDescent="0.3">
      <c r="D27" s="187" t="s">
        <v>716</v>
      </c>
      <c r="G27" s="187" t="s">
        <v>717</v>
      </c>
    </row>
    <row r="28" spans="4:7" x14ac:dyDescent="0.3">
      <c r="D28" s="187" t="s">
        <v>718</v>
      </c>
      <c r="G28" s="187" t="s">
        <v>719</v>
      </c>
    </row>
    <row r="29" spans="4:7" x14ac:dyDescent="0.3">
      <c r="D29" s="187" t="s">
        <v>720</v>
      </c>
      <c r="G29" s="187" t="s">
        <v>721</v>
      </c>
    </row>
    <row r="30" spans="4:7" x14ac:dyDescent="0.3">
      <c r="D30" s="187" t="s">
        <v>722</v>
      </c>
    </row>
    <row r="31" spans="4:7" x14ac:dyDescent="0.3">
      <c r="D31" s="187" t="s">
        <v>723</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941" t="s">
        <v>779</v>
      </c>
      <c r="B1" s="941"/>
      <c r="C1" s="941"/>
      <c r="D1" s="941"/>
      <c r="E1" s="941"/>
      <c r="F1" s="941"/>
      <c r="G1" s="941"/>
    </row>
    <row r="2" spans="1:10" ht="15.6" x14ac:dyDescent="0.3">
      <c r="A2" s="949" t="s">
        <v>780</v>
      </c>
      <c r="B2" s="949"/>
      <c r="C2" s="949"/>
      <c r="D2" s="949"/>
      <c r="E2" s="949"/>
      <c r="F2" s="949"/>
      <c r="G2" s="949"/>
    </row>
    <row r="3" spans="1:10" ht="15.6" x14ac:dyDescent="0.3">
      <c r="A3" s="950" t="s">
        <v>781</v>
      </c>
      <c r="B3" s="950"/>
      <c r="C3" s="950"/>
      <c r="D3" s="950"/>
      <c r="E3" s="950"/>
      <c r="F3" s="950"/>
      <c r="G3" s="950"/>
    </row>
    <row r="4" spans="1:10" ht="15.6" x14ac:dyDescent="0.3">
      <c r="A4" s="582" t="s">
        <v>782</v>
      </c>
      <c r="B4" s="583">
        <v>2025</v>
      </c>
      <c r="C4" s="584"/>
      <c r="D4" s="584"/>
      <c r="E4" s="584"/>
      <c r="F4" s="584"/>
      <c r="G4" s="584"/>
    </row>
    <row r="5" spans="1:10" ht="28.8" x14ac:dyDescent="0.3">
      <c r="A5" s="585" t="s">
        <v>783</v>
      </c>
      <c r="B5" s="586">
        <v>2025</v>
      </c>
    </row>
    <row r="6" spans="1:10" ht="32.25" customHeight="1" x14ac:dyDescent="0.3">
      <c r="A6" s="462" t="s">
        <v>784</v>
      </c>
      <c r="B6" s="587">
        <v>3864</v>
      </c>
    </row>
    <row r="7" spans="1:10" ht="32.25" customHeight="1" x14ac:dyDescent="0.3">
      <c r="A7" s="462" t="s">
        <v>785</v>
      </c>
      <c r="B7" s="587">
        <v>3925</v>
      </c>
    </row>
    <row r="8" spans="1:10" ht="26.4" x14ac:dyDescent="0.3">
      <c r="A8" s="462" t="s">
        <v>417</v>
      </c>
      <c r="B8" s="463">
        <v>45689</v>
      </c>
      <c r="C8" s="464"/>
      <c r="D8" s="464"/>
      <c r="F8" s="464"/>
      <c r="G8" s="464"/>
    </row>
    <row r="9" spans="1:10" ht="26.4" x14ac:dyDescent="0.3">
      <c r="A9" s="462" t="s">
        <v>418</v>
      </c>
      <c r="B9" s="463">
        <v>45824</v>
      </c>
      <c r="C9" s="464"/>
      <c r="D9" s="464"/>
      <c r="F9" s="464"/>
      <c r="G9" s="464"/>
      <c r="I9" s="588"/>
      <c r="J9" s="464"/>
    </row>
    <row r="10" spans="1:10" ht="26.4" x14ac:dyDescent="0.3">
      <c r="A10" s="462" t="s">
        <v>419</v>
      </c>
      <c r="B10" s="463">
        <v>45689</v>
      </c>
      <c r="C10" s="464"/>
      <c r="D10" s="464"/>
      <c r="E10" s="464"/>
      <c r="F10" s="464"/>
      <c r="G10" s="464"/>
      <c r="I10" s="588"/>
      <c r="J10" s="464"/>
    </row>
    <row r="11" spans="1:10" ht="26.4" x14ac:dyDescent="0.3">
      <c r="A11" s="462" t="s">
        <v>420</v>
      </c>
      <c r="B11" s="463">
        <v>45716</v>
      </c>
      <c r="C11" s="464"/>
      <c r="D11" s="464"/>
      <c r="E11" s="464"/>
      <c r="F11" s="464"/>
      <c r="G11" s="464"/>
    </row>
    <row r="12" spans="1:10" ht="26.4" x14ac:dyDescent="0.3">
      <c r="A12" s="462" t="s">
        <v>422</v>
      </c>
      <c r="B12" s="45">
        <f>B9-B8+1</f>
        <v>136</v>
      </c>
      <c r="C12" s="108"/>
      <c r="D12" s="108"/>
      <c r="E12" s="108"/>
      <c r="F12" s="108"/>
      <c r="G12" s="108"/>
    </row>
    <row r="13" spans="1:10" ht="26.4" x14ac:dyDescent="0.3">
      <c r="A13" s="462" t="s">
        <v>423</v>
      </c>
      <c r="B13" s="45">
        <v>0</v>
      </c>
      <c r="C13" s="108"/>
      <c r="D13" s="108"/>
      <c r="E13" s="108"/>
      <c r="F13" s="108"/>
      <c r="G13" s="108"/>
    </row>
    <row r="14" spans="1:10" ht="14.4" x14ac:dyDescent="0.3">
      <c r="A14" s="462" t="s">
        <v>424</v>
      </c>
      <c r="B14" s="45">
        <f>B12-B13</f>
        <v>136</v>
      </c>
      <c r="C14" s="108"/>
      <c r="D14" s="108"/>
      <c r="E14" s="108"/>
      <c r="F14" s="108"/>
      <c r="G14" s="108"/>
    </row>
    <row r="15" spans="1:10" ht="26.4" x14ac:dyDescent="0.3">
      <c r="A15" s="462" t="s">
        <v>427</v>
      </c>
      <c r="B15" s="45">
        <f>NETWORKDAYS(B8,B9)</f>
        <v>96</v>
      </c>
      <c r="C15" s="108"/>
      <c r="F15" s="108"/>
      <c r="G15" s="108"/>
    </row>
    <row r="16" spans="1:10" ht="26.4" x14ac:dyDescent="0.3">
      <c r="A16" s="462" t="s">
        <v>425</v>
      </c>
      <c r="B16" s="45">
        <f ca="1">SUMPRODUCT((WEEKDAY(ROW(INDIRECT(B$8&amp;":"&amp;B$9)))=7)*1)</f>
        <v>20</v>
      </c>
      <c r="C16" s="108"/>
      <c r="D16" s="108"/>
      <c r="E16" s="108"/>
      <c r="F16" s="108"/>
      <c r="G16" s="108"/>
    </row>
    <row r="17" spans="1:10" ht="26.4" x14ac:dyDescent="0.3">
      <c r="A17" s="462" t="s">
        <v>426</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67"/>
      <c r="D19" s="467"/>
      <c r="E19" s="467"/>
      <c r="F19" s="467"/>
      <c r="G19" s="467"/>
      <c r="H19" s="467"/>
    </row>
    <row r="20" spans="1:10" ht="32.25" customHeight="1" x14ac:dyDescent="0.3">
      <c r="C20" s="467"/>
      <c r="D20" s="467"/>
      <c r="E20" s="467"/>
      <c r="F20" s="467"/>
      <c r="G20" s="467"/>
      <c r="H20" s="467"/>
    </row>
    <row r="21" spans="1:10" ht="32.25" customHeight="1" x14ac:dyDescent="0.3">
      <c r="C21" s="467"/>
      <c r="D21" s="467"/>
      <c r="E21" s="467"/>
      <c r="F21" s="467"/>
      <c r="G21" s="467"/>
      <c r="H21" s="467"/>
    </row>
    <row r="22" spans="1:10" ht="32.25" customHeight="1" x14ac:dyDescent="0.3">
      <c r="C22" s="467"/>
      <c r="D22" s="467"/>
      <c r="E22" s="467"/>
      <c r="F22" s="467"/>
      <c r="G22" s="467"/>
      <c r="H22" s="467"/>
    </row>
    <row r="23" spans="1:10" ht="32.25" customHeight="1" x14ac:dyDescent="0.3">
      <c r="A23" s="588"/>
      <c r="C23" s="467"/>
      <c r="D23" s="467"/>
      <c r="E23" s="467"/>
      <c r="F23" s="467"/>
      <c r="G23" s="467"/>
      <c r="H23" s="467"/>
    </row>
    <row r="24" spans="1:10" ht="15.6" x14ac:dyDescent="0.3">
      <c r="A24" s="951" t="s">
        <v>786</v>
      </c>
      <c r="B24" s="951"/>
      <c r="C24" s="951"/>
      <c r="D24" s="951"/>
      <c r="E24" s="951"/>
      <c r="F24" s="951"/>
      <c r="G24" s="951"/>
      <c r="H24" s="951"/>
      <c r="I24" s="951"/>
      <c r="J24" s="951"/>
    </row>
    <row r="25" spans="1:10" ht="32.25" customHeight="1" x14ac:dyDescent="0.3">
      <c r="A25" s="589" t="s">
        <v>430</v>
      </c>
      <c r="B25" s="589" t="s">
        <v>431</v>
      </c>
      <c r="C25" s="589" t="s">
        <v>432</v>
      </c>
      <c r="D25" s="589" t="s">
        <v>433</v>
      </c>
      <c r="E25" s="589" t="s">
        <v>434</v>
      </c>
      <c r="F25" s="590" t="s">
        <v>435</v>
      </c>
      <c r="G25" s="590" t="s">
        <v>787</v>
      </c>
      <c r="H25" s="591" t="s">
        <v>788</v>
      </c>
      <c r="I25" s="591" t="s">
        <v>789</v>
      </c>
      <c r="J25" s="590" t="s">
        <v>790</v>
      </c>
    </row>
    <row r="26" spans="1:10" ht="36" x14ac:dyDescent="0.3">
      <c r="A26" s="592" t="s">
        <v>436</v>
      </c>
      <c r="B26" s="952" t="s">
        <v>791</v>
      </c>
      <c r="C26" s="953"/>
      <c r="D26" s="533" t="s">
        <v>438</v>
      </c>
      <c r="E26" s="533" t="s">
        <v>792</v>
      </c>
      <c r="F26" s="533" t="s">
        <v>793</v>
      </c>
      <c r="G26" s="533" t="s">
        <v>794</v>
      </c>
      <c r="H26" s="533" t="s">
        <v>439</v>
      </c>
      <c r="I26" s="593" t="s">
        <v>795</v>
      </c>
      <c r="J26" s="594">
        <f>B8</f>
        <v>45689</v>
      </c>
    </row>
    <row r="27" spans="1:10" ht="14.4" x14ac:dyDescent="0.3">
      <c r="A27" s="595">
        <v>2025</v>
      </c>
      <c r="B27" s="596" t="s">
        <v>776</v>
      </c>
      <c r="C27" s="597" t="s">
        <v>108</v>
      </c>
      <c r="D27" s="598">
        <v>4000</v>
      </c>
      <c r="E27" s="599">
        <f>D27*0.79</f>
        <v>3160</v>
      </c>
      <c r="F27" s="599">
        <f>+IF(A27=B4,B7,B6)</f>
        <v>3925</v>
      </c>
      <c r="G27" s="599">
        <f>F27*0.79</f>
        <v>3100.75</v>
      </c>
      <c r="H27" s="600">
        <f>MIN(E27,G27)</f>
        <v>3100.75</v>
      </c>
      <c r="I27" s="601" t="s">
        <v>418</v>
      </c>
      <c r="J27" s="602">
        <f>B9</f>
        <v>45824</v>
      </c>
    </row>
    <row r="28" spans="1:10" ht="36" x14ac:dyDescent="0.3">
      <c r="A28" s="595">
        <v>2024</v>
      </c>
      <c r="B28" s="596" t="s">
        <v>777</v>
      </c>
      <c r="C28" s="597" t="s">
        <v>796</v>
      </c>
      <c r="D28" s="598">
        <v>3500</v>
      </c>
      <c r="E28" s="599">
        <f>D28*0.79</f>
        <v>2765</v>
      </c>
      <c r="F28" s="599">
        <f>F27</f>
        <v>3925</v>
      </c>
      <c r="G28" s="599">
        <f>F28*0.79</f>
        <v>3100.75</v>
      </c>
      <c r="H28" s="600">
        <f>MIN(E28,G28)</f>
        <v>2765</v>
      </c>
      <c r="I28" s="603" t="s">
        <v>797</v>
      </c>
      <c r="J28" s="603">
        <f>J27-J26+1</f>
        <v>136</v>
      </c>
    </row>
    <row r="29" spans="1:10" ht="24" x14ac:dyDescent="0.3">
      <c r="A29" s="595">
        <v>2024</v>
      </c>
      <c r="B29" s="596" t="s">
        <v>441</v>
      </c>
      <c r="C29" s="597" t="s">
        <v>798</v>
      </c>
      <c r="D29" s="598">
        <v>3500</v>
      </c>
      <c r="E29" s="599">
        <f>D29*0.79</f>
        <v>2765</v>
      </c>
      <c r="F29" s="599">
        <f>F27</f>
        <v>3925</v>
      </c>
      <c r="G29" s="599">
        <f>F29*0.79</f>
        <v>3100.75</v>
      </c>
      <c r="H29" s="600">
        <f>MIN(E29,G29)</f>
        <v>2765</v>
      </c>
      <c r="I29" s="603" t="s">
        <v>423</v>
      </c>
      <c r="J29" s="603">
        <v>0</v>
      </c>
    </row>
    <row r="30" spans="1:10" ht="15.6" x14ac:dyDescent="0.3">
      <c r="A30" s="476"/>
      <c r="B30" s="476"/>
      <c r="C30" s="477"/>
      <c r="D30" s="477"/>
      <c r="E30" s="477"/>
      <c r="F30" s="477"/>
      <c r="G30" s="604" t="s">
        <v>95</v>
      </c>
      <c r="H30" s="605">
        <f>SUM(H27:H29)</f>
        <v>8630.75</v>
      </c>
      <c r="I30" s="606" t="s">
        <v>424</v>
      </c>
      <c r="J30" s="606">
        <f>J28-J29</f>
        <v>136</v>
      </c>
    </row>
    <row r="31" spans="1:10" ht="15.6" x14ac:dyDescent="0.3">
      <c r="A31" s="476" t="s">
        <v>799</v>
      </c>
      <c r="B31" s="476"/>
      <c r="C31" s="467"/>
      <c r="D31" s="467"/>
      <c r="E31" s="467"/>
      <c r="F31" s="948" t="s">
        <v>442</v>
      </c>
      <c r="G31" s="948"/>
      <c r="H31" s="607">
        <f>ROUND(H30/91.25,2)</f>
        <v>94.58</v>
      </c>
      <c r="I31" s="608"/>
      <c r="J31" s="551"/>
    </row>
    <row r="32" spans="1:10" ht="15.6" x14ac:dyDescent="0.3">
      <c r="A32" s="476"/>
      <c r="B32" s="476"/>
      <c r="C32" s="467"/>
      <c r="D32" s="467"/>
      <c r="E32" s="467"/>
      <c r="F32" s="954" t="s">
        <v>443</v>
      </c>
      <c r="G32" s="954"/>
      <c r="H32" s="609">
        <f>J30</f>
        <v>136</v>
      </c>
      <c r="I32" s="610"/>
      <c r="J32" s="551"/>
    </row>
    <row r="33" spans="1:11" ht="15.6" x14ac:dyDescent="0.3">
      <c r="A33" s="476"/>
      <c r="B33" s="476"/>
      <c r="C33" s="467"/>
      <c r="D33" s="467"/>
      <c r="E33" s="467"/>
      <c r="F33" s="948" t="s">
        <v>469</v>
      </c>
      <c r="G33" s="948"/>
      <c r="H33" s="607">
        <f>ROUND(H31*H32,2)</f>
        <v>12862.88</v>
      </c>
      <c r="I33" s="551"/>
      <c r="J33" s="551"/>
    </row>
    <row r="34" spans="1:11" ht="15.6" x14ac:dyDescent="0.3">
      <c r="A34" s="476"/>
      <c r="B34" s="476"/>
      <c r="C34" s="467"/>
      <c r="D34" s="467"/>
      <c r="E34" s="467"/>
      <c r="F34" s="948" t="s">
        <v>800</v>
      </c>
      <c r="G34" s="948"/>
      <c r="H34" s="605">
        <f>H33*3.8%</f>
        <v>488.78943999999996</v>
      </c>
      <c r="I34" s="551"/>
      <c r="J34" s="608"/>
      <c r="K34" s="611"/>
    </row>
    <row r="35" spans="1:11" ht="15.6" x14ac:dyDescent="0.3">
      <c r="A35" s="476"/>
      <c r="B35" s="476"/>
      <c r="C35" s="467"/>
      <c r="D35" s="467"/>
      <c r="E35" s="467"/>
      <c r="F35" s="948" t="s">
        <v>801</v>
      </c>
      <c r="G35" s="948"/>
      <c r="H35" s="605">
        <f>H33*2.9%</f>
        <v>373.02351999999996</v>
      </c>
      <c r="I35" s="551"/>
      <c r="J35" s="551"/>
    </row>
    <row r="36" spans="1:11" ht="15.6" x14ac:dyDescent="0.3">
      <c r="F36" s="948" t="s">
        <v>802</v>
      </c>
      <c r="G36" s="948"/>
      <c r="H36" s="607">
        <f>H33-H34-H35</f>
        <v>12001.067039999998</v>
      </c>
      <c r="I36" s="187"/>
      <c r="J36" s="187"/>
    </row>
    <row r="37" spans="1:11" ht="15.6" x14ac:dyDescent="0.3">
      <c r="D37" t="s">
        <v>803</v>
      </c>
      <c r="F37" s="948" t="s">
        <v>804</v>
      </c>
      <c r="G37" s="948"/>
      <c r="H37" s="605">
        <f>H33-H34</f>
        <v>12374.090559999999</v>
      </c>
    </row>
    <row r="38" spans="1:11" ht="15.6" x14ac:dyDescent="0.3">
      <c r="G38" s="608"/>
      <c r="H38" s="608"/>
    </row>
    <row r="39" spans="1:11" ht="32.25" customHeight="1" x14ac:dyDescent="0.3">
      <c r="G39" s="611"/>
      <c r="H39" s="611"/>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623"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793" t="s">
        <v>805</v>
      </c>
      <c r="C1" s="793"/>
    </row>
    <row r="2" spans="1:11" ht="22.2" customHeight="1" x14ac:dyDescent="0.25">
      <c r="B2" s="37" t="s">
        <v>410</v>
      </c>
      <c r="C2" s="612"/>
      <c r="E2" s="62"/>
      <c r="F2" s="62"/>
      <c r="G2" s="62"/>
      <c r="J2" s="62"/>
      <c r="K2" s="62"/>
    </row>
    <row r="3" spans="1:11" ht="22.2" customHeight="1" x14ac:dyDescent="0.25">
      <c r="B3" s="37" t="s">
        <v>806</v>
      </c>
      <c r="C3" s="612"/>
      <c r="E3" s="62"/>
      <c r="F3" s="62"/>
      <c r="G3" s="62"/>
      <c r="J3" s="62"/>
      <c r="K3" s="62"/>
    </row>
    <row r="4" spans="1:11" ht="22.2" customHeight="1" x14ac:dyDescent="0.25">
      <c r="A4" s="899" t="s">
        <v>308</v>
      </c>
      <c r="B4" s="829" t="s">
        <v>807</v>
      </c>
      <c r="C4" s="962"/>
    </row>
    <row r="5" spans="1:11" ht="22.2" customHeight="1" x14ac:dyDescent="0.25">
      <c r="A5" s="901"/>
      <c r="B5" s="829"/>
      <c r="C5" s="962"/>
    </row>
    <row r="6" spans="1:11" ht="22.2" customHeight="1" x14ac:dyDescent="0.25">
      <c r="A6" s="963" t="s">
        <v>264</v>
      </c>
      <c r="B6" s="964" t="s">
        <v>808</v>
      </c>
      <c r="C6" s="962"/>
    </row>
    <row r="7" spans="1:11" ht="78.599999999999994" customHeight="1" x14ac:dyDescent="0.25">
      <c r="A7" s="963"/>
      <c r="B7" s="965"/>
      <c r="C7" s="962"/>
    </row>
    <row r="8" spans="1:11" ht="22.2" customHeight="1" x14ac:dyDescent="0.25">
      <c r="A8" s="448" t="s">
        <v>226</v>
      </c>
      <c r="B8" s="564" t="s">
        <v>809</v>
      </c>
      <c r="C8" s="612"/>
    </row>
    <row r="9" spans="1:11" x14ac:dyDescent="0.25">
      <c r="A9" s="956" t="s">
        <v>265</v>
      </c>
      <c r="B9" s="899" t="s">
        <v>810</v>
      </c>
      <c r="C9" s="961">
        <f>IF(C6=0,0,IF(C6=1,C8/12,IF(C6=2,C8/6,IF(C6=3,C8/3,IF(C6=4,C8/2)))))</f>
        <v>0</v>
      </c>
    </row>
    <row r="10" spans="1:11" x14ac:dyDescent="0.25">
      <c r="A10" s="957"/>
      <c r="B10" s="901"/>
      <c r="C10" s="961"/>
    </row>
    <row r="11" spans="1:11" x14ac:dyDescent="0.25">
      <c r="A11" s="956" t="s">
        <v>266</v>
      </c>
      <c r="B11" s="899" t="s">
        <v>811</v>
      </c>
      <c r="C11" s="960">
        <f>C4+C9</f>
        <v>0</v>
      </c>
    </row>
    <row r="12" spans="1:11" x14ac:dyDescent="0.25">
      <c r="A12" s="957"/>
      <c r="B12" s="901"/>
      <c r="C12" s="960"/>
    </row>
    <row r="13" spans="1:11" x14ac:dyDescent="0.25">
      <c r="A13" s="956" t="s">
        <v>265</v>
      </c>
      <c r="B13" s="958" t="s">
        <v>812</v>
      </c>
      <c r="C13" s="960">
        <f>C11/30.42</f>
        <v>0</v>
      </c>
      <c r="D13" s="852"/>
    </row>
    <row r="14" spans="1:11" x14ac:dyDescent="0.25">
      <c r="A14" s="957"/>
      <c r="B14" s="959"/>
      <c r="C14" s="960"/>
      <c r="D14" s="852"/>
    </row>
    <row r="15" spans="1:11" x14ac:dyDescent="0.25">
      <c r="B15" s="613" t="s">
        <v>813</v>
      </c>
      <c r="C15" s="614"/>
      <c r="F15" s="852"/>
      <c r="G15" s="852"/>
      <c r="H15" s="955"/>
    </row>
    <row r="16" spans="1:11" x14ac:dyDescent="0.25">
      <c r="B16" s="448" t="s">
        <v>814</v>
      </c>
      <c r="C16" s="616">
        <f>60%*C13</f>
        <v>0</v>
      </c>
      <c r="F16" s="852"/>
      <c r="G16" s="852"/>
      <c r="H16" s="955"/>
    </row>
    <row r="17" spans="2:8" x14ac:dyDescent="0.25">
      <c r="B17" s="448" t="s">
        <v>815</v>
      </c>
      <c r="C17" s="616">
        <f>C13*0.79</f>
        <v>0</v>
      </c>
      <c r="F17" s="852"/>
      <c r="G17" s="852"/>
      <c r="H17" s="955"/>
    </row>
    <row r="18" spans="2:8" x14ac:dyDescent="0.25">
      <c r="B18" s="448" t="s">
        <v>816</v>
      </c>
      <c r="C18" s="616">
        <f>MIN(C16,C17)</f>
        <v>0</v>
      </c>
      <c r="F18" s="852"/>
      <c r="G18" s="852"/>
      <c r="H18" s="955"/>
    </row>
    <row r="19" spans="2:8" x14ac:dyDescent="0.25">
      <c r="B19" s="448" t="s">
        <v>817</v>
      </c>
      <c r="C19" s="616">
        <f>0.834%*C2*12*60 %</f>
        <v>0</v>
      </c>
      <c r="F19" s="62"/>
      <c r="G19" s="62"/>
      <c r="H19" s="615"/>
    </row>
    <row r="20" spans="2:8" x14ac:dyDescent="0.25">
      <c r="B20" s="448" t="s">
        <v>818</v>
      </c>
      <c r="C20" s="617">
        <f>MIN(C18,C19)</f>
        <v>0</v>
      </c>
      <c r="F20" s="62"/>
      <c r="G20" s="62"/>
      <c r="H20" s="615"/>
    </row>
    <row r="21" spans="2:8" x14ac:dyDescent="0.25">
      <c r="B21" s="613" t="s">
        <v>819</v>
      </c>
      <c r="C21" s="616"/>
      <c r="F21" s="62"/>
      <c r="G21" s="62"/>
      <c r="H21" s="615"/>
    </row>
    <row r="22" spans="2:8" x14ac:dyDescent="0.25">
      <c r="B22" s="448" t="s">
        <v>815</v>
      </c>
      <c r="C22" s="616">
        <f>C17</f>
        <v>0</v>
      </c>
      <c r="F22" s="62"/>
      <c r="G22" s="62"/>
      <c r="H22" s="615"/>
    </row>
    <row r="23" spans="2:8" x14ac:dyDescent="0.25">
      <c r="B23" s="448" t="s">
        <v>820</v>
      </c>
      <c r="C23" s="616">
        <f>80%*C13</f>
        <v>0</v>
      </c>
      <c r="F23" s="62"/>
      <c r="G23" s="62"/>
      <c r="H23" s="615"/>
    </row>
    <row r="24" spans="2:8" x14ac:dyDescent="0.25">
      <c r="B24" s="448" t="s">
        <v>821</v>
      </c>
      <c r="C24" s="616">
        <f>MIN(C22,C23)</f>
        <v>0</v>
      </c>
      <c r="F24" s="62"/>
      <c r="G24" s="62"/>
      <c r="H24" s="615"/>
    </row>
    <row r="25" spans="2:8" x14ac:dyDescent="0.25">
      <c r="B25" s="448" t="s">
        <v>822</v>
      </c>
      <c r="C25" s="616">
        <f>0.834%*C2*12*80 %</f>
        <v>0</v>
      </c>
      <c r="F25" s="62"/>
      <c r="G25" s="62"/>
      <c r="H25" s="615"/>
    </row>
    <row r="26" spans="2:8" x14ac:dyDescent="0.25">
      <c r="B26" s="448" t="s">
        <v>823</v>
      </c>
      <c r="C26" s="617">
        <f>MIN(C24,C25)</f>
        <v>0</v>
      </c>
      <c r="F26" s="62"/>
      <c r="G26" s="62"/>
      <c r="H26" s="615"/>
    </row>
    <row r="27" spans="2:8" x14ac:dyDescent="0.25">
      <c r="B27" s="448" t="s">
        <v>824</v>
      </c>
      <c r="C27" s="617">
        <f>IF(C3&lt;=28,C20,C26)</f>
        <v>0</v>
      </c>
      <c r="F27" s="62"/>
      <c r="G27" s="62"/>
      <c r="H27" s="615"/>
    </row>
    <row r="28" spans="2:8" x14ac:dyDescent="0.25">
      <c r="B28" s="618" t="s">
        <v>825</v>
      </c>
      <c r="C28" s="619">
        <f>C27*3.8%</f>
        <v>0</v>
      </c>
    </row>
    <row r="29" spans="2:8" x14ac:dyDescent="0.25">
      <c r="B29" s="618" t="s">
        <v>826</v>
      </c>
      <c r="C29" s="619">
        <f>C27*2.9%</f>
        <v>0</v>
      </c>
    </row>
    <row r="30" spans="2:8" x14ac:dyDescent="0.25">
      <c r="B30" s="620" t="s">
        <v>802</v>
      </c>
      <c r="C30" s="621">
        <f>C27-C28-C29</f>
        <v>0</v>
      </c>
    </row>
    <row r="31" spans="2:8" x14ac:dyDescent="0.25">
      <c r="B31" s="618" t="s">
        <v>827</v>
      </c>
      <c r="C31" s="619">
        <f>50% * C27</f>
        <v>0</v>
      </c>
    </row>
    <row r="32" spans="2:8" x14ac:dyDescent="0.25">
      <c r="B32" s="618" t="s">
        <v>828</v>
      </c>
      <c r="C32" s="619">
        <f>C31*3.8%</f>
        <v>0</v>
      </c>
    </row>
    <row r="33" spans="2:3" ht="27.6" x14ac:dyDescent="0.25">
      <c r="B33" s="77" t="s">
        <v>829</v>
      </c>
      <c r="C33" s="621">
        <f>+C31-C32</f>
        <v>0</v>
      </c>
    </row>
    <row r="34" spans="2:3" x14ac:dyDescent="0.25">
      <c r="B34" s="37" t="s">
        <v>424</v>
      </c>
      <c r="C34" s="622">
        <f>C3</f>
        <v>0</v>
      </c>
    </row>
    <row r="35" spans="2:3" x14ac:dyDescent="0.25">
      <c r="B35" s="37" t="s">
        <v>830</v>
      </c>
      <c r="C35" s="622">
        <f>C27*C3</f>
        <v>0</v>
      </c>
    </row>
    <row r="36" spans="2:3" x14ac:dyDescent="0.25">
      <c r="B36" s="37" t="s">
        <v>831</v>
      </c>
      <c r="C36" s="622">
        <f>C30*C3</f>
        <v>0</v>
      </c>
    </row>
    <row r="37" spans="2:3" x14ac:dyDescent="0.25">
      <c r="B37" s="37" t="s">
        <v>832</v>
      </c>
      <c r="C37" s="622">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1" workbookViewId="0">
      <selection activeCell="E41" sqref="E41"/>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36"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1:13" ht="12.75" customHeight="1" x14ac:dyDescent="0.3"/>
    <row r="2" spans="1:13" x14ac:dyDescent="0.3">
      <c r="C2" s="394" t="s">
        <v>325</v>
      </c>
    </row>
    <row r="3" spans="1:13" ht="12.75" customHeight="1" x14ac:dyDescent="0.3"/>
    <row r="4" spans="1:13" ht="21.75" customHeight="1" x14ac:dyDescent="0.3">
      <c r="A4" s="983"/>
      <c r="B4" s="983"/>
      <c r="C4" s="995" t="s">
        <v>326</v>
      </c>
      <c r="D4" s="998"/>
      <c r="E4" s="998"/>
      <c r="F4" s="998"/>
      <c r="G4" s="652" t="s">
        <v>872</v>
      </c>
      <c r="H4" s="652"/>
      <c r="I4" s="988"/>
      <c r="J4" s="988"/>
      <c r="K4" s="988"/>
      <c r="L4" s="988"/>
      <c r="M4" s="988"/>
    </row>
    <row r="5" spans="1:13" ht="21.75" customHeight="1" x14ac:dyDescent="0.3">
      <c r="A5" s="983"/>
      <c r="B5" s="983"/>
      <c r="C5" s="996" t="s">
        <v>327</v>
      </c>
      <c r="D5" s="988"/>
      <c r="E5" s="988"/>
      <c r="F5" s="988"/>
      <c r="G5" s="653" t="s">
        <v>873</v>
      </c>
      <c r="H5" s="653"/>
      <c r="I5" s="988"/>
      <c r="J5" s="988"/>
      <c r="K5" s="988"/>
      <c r="L5" s="988"/>
      <c r="M5" s="988"/>
    </row>
    <row r="6" spans="1:13" ht="21.75" customHeight="1" x14ac:dyDescent="0.3">
      <c r="A6" s="983"/>
      <c r="B6" s="983"/>
      <c r="C6" s="996" t="s">
        <v>328</v>
      </c>
      <c r="D6" s="988"/>
      <c r="E6" s="988"/>
      <c r="F6" s="988"/>
      <c r="G6" s="654">
        <v>34464426500029</v>
      </c>
      <c r="H6" s="654"/>
      <c r="I6" s="988"/>
      <c r="J6" s="988"/>
      <c r="K6" s="988"/>
      <c r="L6" s="988"/>
      <c r="M6" s="988"/>
    </row>
    <row r="7" spans="1:13" ht="21.75" customHeight="1" x14ac:dyDescent="0.3">
      <c r="A7" s="983"/>
      <c r="B7" s="983"/>
      <c r="C7" s="996" t="s">
        <v>329</v>
      </c>
      <c r="D7" s="988"/>
      <c r="E7" s="988"/>
      <c r="F7" s="988"/>
      <c r="G7" s="652" t="s">
        <v>874</v>
      </c>
      <c r="H7" s="652"/>
      <c r="I7" s="988"/>
      <c r="J7" s="988"/>
      <c r="K7" s="988"/>
      <c r="L7" s="988"/>
      <c r="M7" s="988"/>
    </row>
    <row r="8" spans="1:13" ht="51.75" customHeight="1" x14ac:dyDescent="0.3">
      <c r="A8" s="983"/>
      <c r="B8" s="983"/>
      <c r="C8" s="977" t="s">
        <v>330</v>
      </c>
      <c r="D8" s="979"/>
      <c r="E8" s="979"/>
      <c r="F8" s="988"/>
      <c r="G8" s="659" t="s">
        <v>875</v>
      </c>
      <c r="H8" s="659"/>
      <c r="I8" s="988"/>
      <c r="J8" s="988"/>
      <c r="K8" s="988"/>
      <c r="L8" s="988"/>
      <c r="M8" s="988"/>
    </row>
    <row r="9" spans="1:13" x14ac:dyDescent="0.3">
      <c r="A9" s="983"/>
      <c r="B9" s="983"/>
      <c r="C9" s="997" t="s">
        <v>331</v>
      </c>
      <c r="D9" s="999"/>
      <c r="E9" s="999"/>
      <c r="F9" s="999"/>
      <c r="G9" s="651">
        <v>15</v>
      </c>
      <c r="H9" s="651"/>
      <c r="I9" s="988"/>
      <c r="J9" s="988"/>
      <c r="K9" s="988"/>
      <c r="L9" s="988"/>
      <c r="M9" s="988"/>
    </row>
    <row r="10" spans="1:13" x14ac:dyDescent="0.3">
      <c r="C10" s="662"/>
      <c r="D10" s="662"/>
      <c r="E10" s="662"/>
      <c r="F10" s="662"/>
      <c r="G10" s="662"/>
      <c r="H10" s="662"/>
    </row>
    <row r="11" spans="1:13" ht="28.2" customHeight="1" x14ac:dyDescent="0.3">
      <c r="C11" s="398"/>
      <c r="D11" s="399"/>
      <c r="E11" s="663" t="s">
        <v>59</v>
      </c>
      <c r="F11" s="663"/>
      <c r="G11" s="400" t="s">
        <v>87</v>
      </c>
      <c r="H11" s="400" t="s">
        <v>88</v>
      </c>
    </row>
    <row r="12" spans="1:13" ht="19.8" hidden="1" customHeight="1" x14ac:dyDescent="0.3">
      <c r="C12" s="656" t="s">
        <v>399</v>
      </c>
      <c r="D12" s="656"/>
      <c r="E12" s="657"/>
      <c r="F12" s="658"/>
      <c r="G12" s="974"/>
      <c r="H12" s="974"/>
      <c r="I12" s="403"/>
      <c r="J12" s="403"/>
      <c r="K12" s="403"/>
      <c r="L12" s="403"/>
      <c r="M12" s="403"/>
    </row>
    <row r="13" spans="1:13" ht="20.25" hidden="1" customHeight="1" x14ac:dyDescent="0.3">
      <c r="C13" s="656" t="s">
        <v>400</v>
      </c>
      <c r="D13" s="656"/>
      <c r="E13" s="656"/>
      <c r="F13" s="656"/>
      <c r="G13" s="974"/>
      <c r="H13" s="974"/>
      <c r="I13" s="403"/>
      <c r="J13" s="403"/>
      <c r="K13" s="403"/>
      <c r="L13" s="403"/>
      <c r="M13" s="403"/>
    </row>
    <row r="14" spans="1:13" ht="20.25" hidden="1" customHeight="1" x14ac:dyDescent="0.3">
      <c r="C14" s="656"/>
      <c r="D14" s="656"/>
      <c r="E14" s="656"/>
      <c r="F14" s="656"/>
      <c r="G14" s="494"/>
      <c r="H14" s="494"/>
      <c r="I14" s="403"/>
      <c r="J14" s="403"/>
      <c r="K14" s="403"/>
      <c r="L14" s="403"/>
      <c r="M14" s="403"/>
    </row>
    <row r="15" spans="1:13" ht="20.25" customHeight="1" x14ac:dyDescent="0.3">
      <c r="C15" s="656" t="s">
        <v>201</v>
      </c>
      <c r="D15" s="656"/>
      <c r="E15" s="656" t="s">
        <v>332</v>
      </c>
      <c r="F15" s="656"/>
      <c r="G15" s="975">
        <v>8.0000000000000002E-3</v>
      </c>
      <c r="H15" s="975">
        <v>8.0000000000000002E-3</v>
      </c>
      <c r="I15" s="403"/>
      <c r="J15" s="403"/>
      <c r="K15" s="403"/>
      <c r="L15" s="403"/>
      <c r="M15" s="403"/>
    </row>
    <row r="16" spans="1:13" ht="19.8" hidden="1" customHeight="1" x14ac:dyDescent="0.3">
      <c r="C16" s="656" t="s">
        <v>333</v>
      </c>
      <c r="D16" s="656"/>
      <c r="E16" s="656" t="s">
        <v>332</v>
      </c>
      <c r="F16" s="656"/>
      <c r="G16" s="976"/>
      <c r="H16" s="978"/>
      <c r="I16" s="403"/>
      <c r="J16" s="403"/>
      <c r="K16" s="403"/>
      <c r="L16" s="403"/>
      <c r="M16" s="403"/>
    </row>
    <row r="17" spans="3:13" ht="20.25" hidden="1" customHeight="1" x14ac:dyDescent="0.3">
      <c r="C17" s="656" t="s">
        <v>407</v>
      </c>
      <c r="D17" s="656"/>
      <c r="E17" s="656"/>
      <c r="F17" s="656"/>
      <c r="G17" s="540"/>
      <c r="H17" s="540"/>
      <c r="I17" s="403"/>
      <c r="J17" s="403"/>
      <c r="K17" s="403"/>
      <c r="L17" s="403"/>
      <c r="M17" s="403"/>
    </row>
    <row r="18" spans="3:13" ht="20.25" customHeight="1" x14ac:dyDescent="0.3">
      <c r="C18" s="656" t="s">
        <v>401</v>
      </c>
      <c r="D18" s="656"/>
      <c r="E18" s="656" t="s">
        <v>402</v>
      </c>
      <c r="F18" s="656"/>
      <c r="G18" s="540"/>
      <c r="H18" s="1000">
        <v>1.4999999999999999E-2</v>
      </c>
      <c r="I18" s="403"/>
      <c r="J18" s="403"/>
      <c r="K18" s="403"/>
      <c r="L18" s="403"/>
      <c r="M18" s="403"/>
    </row>
    <row r="19" spans="3:13" ht="20.25" hidden="1" customHeight="1" x14ac:dyDescent="0.3">
      <c r="C19" s="656"/>
      <c r="D19" s="656"/>
      <c r="E19" s="656"/>
      <c r="F19" s="656"/>
      <c r="G19" s="402"/>
      <c r="H19" s="402"/>
      <c r="I19" s="403"/>
      <c r="J19" s="403"/>
      <c r="K19" s="403"/>
      <c r="L19" s="404" t="s">
        <v>334</v>
      </c>
      <c r="M19" s="403"/>
    </row>
    <row r="20" spans="3:13" ht="20.25" hidden="1" customHeight="1" x14ac:dyDescent="0.3">
      <c r="C20" s="656"/>
      <c r="D20" s="656"/>
      <c r="E20" s="657"/>
      <c r="F20" s="658"/>
      <c r="G20" s="402"/>
      <c r="H20" s="402">
        <v>1.4999999999999999E-2</v>
      </c>
      <c r="I20" s="403"/>
      <c r="J20" s="403"/>
      <c r="K20" s="403"/>
      <c r="L20" s="404"/>
      <c r="M20" s="403"/>
    </row>
    <row r="21" spans="3:13" ht="20.25" customHeight="1" x14ac:dyDescent="0.3">
      <c r="C21" s="656" t="s">
        <v>335</v>
      </c>
      <c r="D21" s="656"/>
      <c r="E21" s="656" t="s">
        <v>332</v>
      </c>
      <c r="F21" s="656"/>
      <c r="G21" s="402"/>
      <c r="H21" s="494">
        <v>1.2999999999999999E-2</v>
      </c>
      <c r="I21" s="403"/>
      <c r="J21" s="403"/>
      <c r="K21" s="403"/>
      <c r="L21" s="403"/>
      <c r="M21" s="403"/>
    </row>
    <row r="22" spans="3:13" ht="20.25" customHeight="1" x14ac:dyDescent="0.3">
      <c r="C22" s="656" t="s">
        <v>336</v>
      </c>
      <c r="D22" s="656"/>
      <c r="E22" s="656" t="s">
        <v>332</v>
      </c>
      <c r="F22" s="656"/>
      <c r="G22" s="402"/>
      <c r="H22" s="494">
        <v>3.2000000000000001E-2</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337</v>
      </c>
      <c r="D26" s="407"/>
      <c r="E26" s="984" t="s">
        <v>198</v>
      </c>
    </row>
    <row r="27" spans="3:13" x14ac:dyDescent="0.3">
      <c r="C27" s="396" t="s">
        <v>338</v>
      </c>
      <c r="D27" s="408"/>
      <c r="E27" s="985" t="s">
        <v>868</v>
      </c>
    </row>
    <row r="28" spans="3:13" x14ac:dyDescent="0.3">
      <c r="C28" s="396" t="s">
        <v>327</v>
      </c>
      <c r="D28" s="408"/>
      <c r="E28" s="986" t="s">
        <v>869</v>
      </c>
    </row>
    <row r="29" spans="3:13" x14ac:dyDescent="0.3">
      <c r="C29" s="396" t="s">
        <v>339</v>
      </c>
      <c r="D29" s="408"/>
      <c r="E29" s="985" t="s">
        <v>870</v>
      </c>
    </row>
    <row r="30" spans="3:13" x14ac:dyDescent="0.3">
      <c r="C30" s="396" t="s">
        <v>340</v>
      </c>
      <c r="D30" s="408"/>
      <c r="E30" s="985">
        <v>520</v>
      </c>
    </row>
    <row r="31" spans="3:13" x14ac:dyDescent="0.3">
      <c r="C31" s="396" t="s">
        <v>341</v>
      </c>
      <c r="D31" s="408"/>
      <c r="E31" s="987" t="s">
        <v>871</v>
      </c>
    </row>
    <row r="32" spans="3:13" x14ac:dyDescent="0.3">
      <c r="C32" s="396" t="s">
        <v>342</v>
      </c>
      <c r="D32" s="408"/>
      <c r="E32" s="985" t="s">
        <v>226</v>
      </c>
      <c r="G32" s="185" t="s">
        <v>765</v>
      </c>
    </row>
    <row r="33" spans="3:7" x14ac:dyDescent="0.3">
      <c r="C33" s="396" t="s">
        <v>343</v>
      </c>
      <c r="D33" s="408"/>
      <c r="E33" s="985">
        <v>2</v>
      </c>
      <c r="G33" s="185" t="s">
        <v>766</v>
      </c>
    </row>
    <row r="34" spans="3:7" x14ac:dyDescent="0.3">
      <c r="C34" s="397" t="s">
        <v>403</v>
      </c>
      <c r="D34" s="409"/>
      <c r="E34" s="49"/>
    </row>
    <row r="35" spans="3:7" hidden="1" x14ac:dyDescent="0.3"/>
    <row r="36" spans="3:7" x14ac:dyDescent="0.3">
      <c r="E36" s="403"/>
    </row>
    <row r="37" spans="3:7" ht="24" customHeight="1" x14ac:dyDescent="0.3">
      <c r="C37" s="660" t="s">
        <v>89</v>
      </c>
      <c r="D37" s="661"/>
      <c r="E37" s="393" t="s">
        <v>198</v>
      </c>
      <c r="F37" s="403"/>
    </row>
    <row r="38" spans="3:7" ht="24" customHeight="1" x14ac:dyDescent="0.3">
      <c r="C38" s="395" t="s">
        <v>344</v>
      </c>
      <c r="D38" s="407"/>
      <c r="E38" s="491">
        <v>45658</v>
      </c>
      <c r="F38" s="410"/>
    </row>
    <row r="39" spans="3:7" ht="24" customHeight="1" x14ac:dyDescent="0.3">
      <c r="C39" s="396" t="s">
        <v>345</v>
      </c>
      <c r="D39" s="408"/>
      <c r="E39" s="491">
        <v>45688</v>
      </c>
      <c r="F39" s="410"/>
    </row>
    <row r="40" spans="3:7" ht="24" customHeight="1" x14ac:dyDescent="0.3">
      <c r="C40" s="396" t="s">
        <v>346</v>
      </c>
      <c r="D40" s="408"/>
      <c r="E40" s="491">
        <v>45688</v>
      </c>
      <c r="F40" s="410"/>
    </row>
    <row r="41" spans="3:7" ht="24" customHeight="1" x14ac:dyDescent="0.3">
      <c r="C41" s="396" t="s">
        <v>324</v>
      </c>
      <c r="D41" s="408"/>
      <c r="E41" s="492">
        <v>6000</v>
      </c>
      <c r="F41" s="411"/>
    </row>
    <row r="42" spans="3:7" ht="24" customHeight="1" x14ac:dyDescent="0.3">
      <c r="C42" s="396" t="s">
        <v>323</v>
      </c>
      <c r="D42" s="408"/>
      <c r="E42" s="493">
        <v>151.66999999999999</v>
      </c>
      <c r="F42" s="411"/>
    </row>
    <row r="43" spans="3:7" ht="24" customHeight="1" x14ac:dyDescent="0.3">
      <c r="C43" s="396" t="s">
        <v>303</v>
      </c>
      <c r="D43" s="408"/>
      <c r="E43" s="493">
        <v>11.88</v>
      </c>
      <c r="F43" s="411"/>
    </row>
    <row r="44" spans="3:7" ht="24" customHeight="1" x14ac:dyDescent="0.3">
      <c r="C44" s="396" t="s">
        <v>347</v>
      </c>
      <c r="D44" s="408"/>
      <c r="E44" s="493">
        <v>3925</v>
      </c>
      <c r="F44" s="411"/>
    </row>
    <row r="45" spans="3:7" ht="19.5" customHeight="1" x14ac:dyDescent="0.3">
      <c r="C45" s="396" t="s">
        <v>404</v>
      </c>
      <c r="D45" s="408"/>
      <c r="E45" s="493"/>
      <c r="F45" s="411"/>
    </row>
    <row r="46" spans="3:7" ht="19.5" customHeight="1" x14ac:dyDescent="0.3">
      <c r="C46" s="396" t="s">
        <v>13</v>
      </c>
      <c r="D46" s="408"/>
      <c r="E46" s="493">
        <v>151.66999999999999</v>
      </c>
      <c r="F46" s="412"/>
    </row>
    <row r="47" spans="3:7" ht="19.5" customHeight="1" x14ac:dyDescent="0.3">
      <c r="C47" s="396" t="s">
        <v>348</v>
      </c>
      <c r="D47" s="408"/>
      <c r="E47" s="493"/>
      <c r="F47" s="412"/>
    </row>
    <row r="48" spans="3:7" ht="19.5" customHeight="1" x14ac:dyDescent="0.3">
      <c r="C48" s="396" t="s">
        <v>349</v>
      </c>
      <c r="D48" s="408"/>
      <c r="E48" s="493"/>
      <c r="F48" s="413"/>
    </row>
    <row r="49" spans="2:6" ht="19.5" customHeight="1" x14ac:dyDescent="0.3">
      <c r="C49" s="396" t="s">
        <v>350</v>
      </c>
      <c r="D49" s="408"/>
      <c r="E49" s="493"/>
      <c r="F49" s="413"/>
    </row>
    <row r="50" spans="2:6" ht="19.5" customHeight="1" x14ac:dyDescent="0.3">
      <c r="C50" s="396" t="s">
        <v>351</v>
      </c>
      <c r="D50" s="408"/>
      <c r="E50" s="493"/>
      <c r="F50" s="413"/>
    </row>
    <row r="51" spans="2:6" ht="19.5" customHeight="1" x14ac:dyDescent="0.3">
      <c r="C51" s="397" t="s">
        <v>405</v>
      </c>
      <c r="D51" s="409"/>
      <c r="E51" s="493" t="s">
        <v>876</v>
      </c>
      <c r="F51" s="413"/>
    </row>
    <row r="52" spans="2:6" ht="19.5" hidden="1" customHeight="1" x14ac:dyDescent="0.3">
      <c r="B52" s="394" t="s">
        <v>352</v>
      </c>
      <c r="E52" s="414">
        <v>211</v>
      </c>
    </row>
    <row r="53" spans="2:6" ht="24" hidden="1" customHeight="1" x14ac:dyDescent="0.3"/>
    <row r="54" spans="2:6" ht="24" hidden="1" customHeight="1" x14ac:dyDescent="0.3">
      <c r="C54" s="25" t="s">
        <v>353</v>
      </c>
    </row>
    <row r="55" spans="2:6" ht="24" hidden="1" customHeight="1" x14ac:dyDescent="0.3"/>
    <row r="56" spans="2:6" ht="24" hidden="1" customHeight="1" x14ac:dyDescent="0.3">
      <c r="D56" s="25" t="s">
        <v>354</v>
      </c>
    </row>
    <row r="57" spans="2:6" ht="24" hidden="1" customHeight="1" x14ac:dyDescent="0.3"/>
    <row r="58" spans="2:6" ht="24" hidden="1" customHeight="1" x14ac:dyDescent="0.3">
      <c r="D58" s="25" t="s">
        <v>355</v>
      </c>
    </row>
    <row r="59" spans="2:6" ht="24" hidden="1" customHeight="1" x14ac:dyDescent="0.3"/>
    <row r="60" spans="2:6" ht="24" hidden="1" customHeight="1" x14ac:dyDescent="0.3">
      <c r="C60" s="25" t="s">
        <v>356</v>
      </c>
    </row>
    <row r="61" spans="2:6" ht="24" hidden="1" customHeight="1" x14ac:dyDescent="0.3"/>
    <row r="62" spans="2:6" ht="24" hidden="1" customHeight="1" x14ac:dyDescent="0.3">
      <c r="D62" s="25" t="s">
        <v>357</v>
      </c>
    </row>
    <row r="63" spans="2:6" ht="24" hidden="1" customHeight="1" x14ac:dyDescent="0.3">
      <c r="D63" s="25" t="s">
        <v>358</v>
      </c>
    </row>
    <row r="64" spans="2:6" ht="24" hidden="1" customHeight="1" x14ac:dyDescent="0.3">
      <c r="D64" s="25" t="s">
        <v>359</v>
      </c>
    </row>
    <row r="65" spans="1:11" ht="24" hidden="1" customHeight="1" x14ac:dyDescent="0.3">
      <c r="D65" s="25" t="s">
        <v>360</v>
      </c>
    </row>
    <row r="66" spans="1:11" ht="24" hidden="1" customHeight="1" x14ac:dyDescent="0.3">
      <c r="D66" s="25" t="s">
        <v>361</v>
      </c>
    </row>
    <row r="67" spans="1:11" ht="24" hidden="1" customHeight="1" x14ac:dyDescent="0.3"/>
    <row r="68" spans="1:11" ht="24" hidden="1" customHeight="1" x14ac:dyDescent="0.3">
      <c r="C68" s="25" t="s">
        <v>362</v>
      </c>
    </row>
    <row r="69" spans="1:11" ht="24" hidden="1" customHeight="1" x14ac:dyDescent="0.3">
      <c r="C69" s="25" t="s">
        <v>363</v>
      </c>
    </row>
    <row r="70" spans="1:11" ht="24" hidden="1" customHeight="1" x14ac:dyDescent="0.3"/>
    <row r="71" spans="1:11" ht="24" hidden="1" customHeight="1" x14ac:dyDescent="0.3">
      <c r="D71" s="25" t="s">
        <v>364</v>
      </c>
    </row>
    <row r="72" spans="1:11" ht="24" hidden="1" customHeight="1" x14ac:dyDescent="0.3"/>
    <row r="73" spans="1:11" ht="24" hidden="1" customHeight="1" x14ac:dyDescent="0.3">
      <c r="C73" s="25" t="s">
        <v>365</v>
      </c>
    </row>
    <row r="74" spans="1:11" ht="24" hidden="1" customHeight="1" x14ac:dyDescent="0.3"/>
    <row r="75" spans="1:11" ht="24" hidden="1" customHeight="1" x14ac:dyDescent="0.3">
      <c r="E75" s="401" t="s">
        <v>59</v>
      </c>
      <c r="F75" s="401" t="s">
        <v>366</v>
      </c>
      <c r="G75" s="401" t="s">
        <v>92</v>
      </c>
      <c r="H75" s="401" t="s">
        <v>367</v>
      </c>
      <c r="I75" s="401" t="s">
        <v>86</v>
      </c>
    </row>
    <row r="76" spans="1:11" ht="24" hidden="1" customHeight="1" x14ac:dyDescent="0.3">
      <c r="B76" s="401" t="s">
        <v>368</v>
      </c>
      <c r="C76" s="659" t="s">
        <v>50</v>
      </c>
      <c r="D76" s="659"/>
      <c r="E76" s="415"/>
      <c r="F76" s="416">
        <v>6.8000000000000005E-2</v>
      </c>
      <c r="G76" s="415"/>
      <c r="H76" s="415"/>
      <c r="I76" s="415"/>
      <c r="J76" s="417"/>
      <c r="K76" s="417"/>
    </row>
    <row r="77" spans="1:11" ht="24" hidden="1" customHeight="1" x14ac:dyDescent="0.3">
      <c r="B77" s="401" t="s">
        <v>369</v>
      </c>
      <c r="C77" s="659" t="s">
        <v>51</v>
      </c>
      <c r="D77" s="659"/>
      <c r="E77" s="415"/>
      <c r="F77" s="416">
        <v>6.8000000000000005E-2</v>
      </c>
      <c r="G77" s="415"/>
      <c r="H77" s="415"/>
      <c r="I77" s="415"/>
      <c r="J77" s="417"/>
      <c r="K77" s="417"/>
    </row>
    <row r="78" spans="1:11" ht="24" hidden="1" customHeight="1" x14ac:dyDescent="0.3">
      <c r="B78" s="401" t="s">
        <v>370</v>
      </c>
      <c r="C78" s="659" t="s">
        <v>52</v>
      </c>
      <c r="D78" s="659"/>
      <c r="E78" s="415"/>
      <c r="F78" s="416">
        <v>2.9000000000000001E-2</v>
      </c>
      <c r="G78" s="415"/>
      <c r="H78" s="415"/>
      <c r="I78" s="415"/>
      <c r="J78" s="417"/>
      <c r="K78" s="417"/>
    </row>
    <row r="79" spans="1:11" ht="24" hidden="1" customHeight="1" x14ac:dyDescent="0.3">
      <c r="A79" s="655"/>
      <c r="B79" s="655"/>
      <c r="E79" s="415"/>
      <c r="F79" s="415"/>
      <c r="G79" s="415"/>
      <c r="H79" s="415"/>
      <c r="I79" s="418"/>
      <c r="J79" s="417"/>
      <c r="K79" s="417"/>
    </row>
    <row r="80" spans="1:11" ht="24" hidden="1" customHeight="1" x14ac:dyDescent="0.3">
      <c r="B80" s="401" t="s">
        <v>361</v>
      </c>
      <c r="C80" s="659" t="s">
        <v>53</v>
      </c>
      <c r="D80" s="659"/>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371</v>
      </c>
    </row>
    <row r="83" spans="2:11" ht="24" hidden="1" customHeight="1" x14ac:dyDescent="0.3"/>
    <row r="84" spans="2:11" ht="24" hidden="1" customHeight="1" x14ac:dyDescent="0.3">
      <c r="D84" s="25" t="s">
        <v>372</v>
      </c>
    </row>
    <row r="85" spans="2:11" ht="24" hidden="1" customHeight="1" x14ac:dyDescent="0.3"/>
    <row r="86" spans="2:11" ht="24" hidden="1" customHeight="1" x14ac:dyDescent="0.3">
      <c r="B86" s="25" t="s">
        <v>373</v>
      </c>
    </row>
    <row r="87" spans="2:11" ht="24" hidden="1" customHeight="1" x14ac:dyDescent="0.3"/>
    <row r="88" spans="2:11" ht="24" hidden="1" customHeight="1" x14ac:dyDescent="0.3">
      <c r="C88" s="25" t="s">
        <v>374</v>
      </c>
    </row>
    <row r="89" spans="2:11" ht="24" hidden="1" customHeight="1" x14ac:dyDescent="0.3"/>
    <row r="90" spans="2:11" ht="24" hidden="1" customHeight="1" x14ac:dyDescent="0.3">
      <c r="D90" s="25" t="s">
        <v>375</v>
      </c>
    </row>
    <row r="91" spans="2:11" ht="24" hidden="1" customHeight="1" x14ac:dyDescent="0.3">
      <c r="D91" s="25" t="s">
        <v>354</v>
      </c>
    </row>
    <row r="92" spans="2:11" ht="24" hidden="1" customHeight="1" x14ac:dyDescent="0.3">
      <c r="D92" s="25" t="s">
        <v>376</v>
      </c>
    </row>
    <row r="93" spans="2:11" ht="24" hidden="1" customHeight="1" x14ac:dyDescent="0.3">
      <c r="D93" s="25" t="s">
        <v>377</v>
      </c>
    </row>
    <row r="94" spans="2:11" ht="24" hidden="1" customHeight="1" x14ac:dyDescent="0.3">
      <c r="D94" s="25" t="s">
        <v>378</v>
      </c>
    </row>
    <row r="95" spans="2:11" ht="24" hidden="1" customHeight="1" x14ac:dyDescent="0.3"/>
    <row r="96" spans="2:11" ht="24" hidden="1" customHeight="1" x14ac:dyDescent="0.3">
      <c r="C96" s="25" t="s">
        <v>379</v>
      </c>
    </row>
    <row r="97" spans="2:5" ht="24" hidden="1" customHeight="1" x14ac:dyDescent="0.3"/>
    <row r="98" spans="2:5" ht="24" hidden="1" customHeight="1" x14ac:dyDescent="0.3">
      <c r="B98" s="394" t="s">
        <v>380</v>
      </c>
      <c r="C98" s="394"/>
    </row>
    <row r="99" spans="2:5" ht="24" hidden="1" customHeight="1" x14ac:dyDescent="0.3"/>
    <row r="100" spans="2:5" ht="24" hidden="1" customHeight="1" x14ac:dyDescent="0.3">
      <c r="C100" s="429" t="s">
        <v>381</v>
      </c>
    </row>
    <row r="101" spans="2:5" ht="24" hidden="1" customHeight="1" x14ac:dyDescent="0.3"/>
    <row r="102" spans="2:5" ht="24" hidden="1" customHeight="1" x14ac:dyDescent="0.3">
      <c r="C102" s="25" t="s">
        <v>382</v>
      </c>
    </row>
    <row r="103" spans="2:5" ht="24" hidden="1" customHeight="1" x14ac:dyDescent="0.3">
      <c r="C103" s="25" t="s">
        <v>383</v>
      </c>
    </row>
    <row r="104" spans="2:5" ht="24" hidden="1" customHeight="1" x14ac:dyDescent="0.3">
      <c r="C104" s="25" t="s">
        <v>384</v>
      </c>
    </row>
    <row r="105" spans="2:5" ht="24" hidden="1" customHeight="1" x14ac:dyDescent="0.3">
      <c r="C105" s="25" t="s">
        <v>385</v>
      </c>
    </row>
    <row r="106" spans="2:5" ht="24" hidden="1" customHeight="1" x14ac:dyDescent="0.3">
      <c r="C106" s="25" t="s">
        <v>386</v>
      </c>
    </row>
    <row r="107" spans="2:5" ht="24" hidden="1" customHeight="1" x14ac:dyDescent="0.3"/>
    <row r="108" spans="2:5" ht="24" hidden="1" customHeight="1" x14ac:dyDescent="0.3"/>
    <row r="109" spans="2:5" ht="24" hidden="1" customHeight="1" x14ac:dyDescent="0.3">
      <c r="B109" s="394" t="s">
        <v>387</v>
      </c>
    </row>
    <row r="110" spans="2:5" ht="24" hidden="1" customHeight="1" x14ac:dyDescent="0.3"/>
    <row r="111" spans="2:5" ht="24" hidden="1" customHeight="1" x14ac:dyDescent="0.3">
      <c r="C111" s="25" t="s">
        <v>388</v>
      </c>
    </row>
    <row r="112" spans="2:5" ht="24" hidden="1" customHeight="1" x14ac:dyDescent="0.3">
      <c r="D112" s="25" t="s">
        <v>389</v>
      </c>
      <c r="E112" s="430">
        <v>2332</v>
      </c>
    </row>
    <row r="113" spans="3:6" ht="24" hidden="1" customHeight="1" x14ac:dyDescent="0.3">
      <c r="D113" s="25" t="s">
        <v>390</v>
      </c>
      <c r="E113" s="430">
        <v>3062</v>
      </c>
    </row>
    <row r="114" spans="3:6" ht="24" hidden="1" customHeight="1" x14ac:dyDescent="0.3"/>
    <row r="115" spans="3:6" ht="24" hidden="1" customHeight="1" x14ac:dyDescent="0.3">
      <c r="C115" s="25" t="s">
        <v>391</v>
      </c>
      <c r="D115" s="25">
        <v>8.3000000000000007</v>
      </c>
    </row>
    <row r="116" spans="3:6" ht="24" hidden="1" customHeight="1" x14ac:dyDescent="0.3">
      <c r="D116" s="25" t="s">
        <v>392</v>
      </c>
    </row>
    <row r="117" spans="3:6" ht="24" hidden="1" customHeight="1" x14ac:dyDescent="0.3">
      <c r="D117" s="25" t="s">
        <v>393</v>
      </c>
      <c r="E117" s="430">
        <f>E30</f>
        <v>520</v>
      </c>
      <c r="F117" s="25">
        <f>E117*D115</f>
        <v>4316</v>
      </c>
    </row>
    <row r="118" spans="3:6" ht="24" hidden="1" customHeight="1" x14ac:dyDescent="0.3">
      <c r="D118" s="25" t="s">
        <v>394</v>
      </c>
      <c r="E118" s="430" t="e">
        <f>#REF!</f>
        <v>#REF!</v>
      </c>
      <c r="F118" s="25" t="e">
        <f>D115*E118</f>
        <v>#REF!</v>
      </c>
    </row>
    <row r="119" spans="3:6" ht="24" hidden="1" customHeight="1" x14ac:dyDescent="0.3"/>
    <row r="120" spans="3:6" ht="24" hidden="1" customHeight="1" x14ac:dyDescent="0.3">
      <c r="E120" s="25" t="s">
        <v>395</v>
      </c>
    </row>
    <row r="121" spans="3:6" ht="24" hidden="1" customHeight="1" x14ac:dyDescent="0.3"/>
    <row r="122" spans="3:6" ht="15.75" hidden="1" customHeight="1" x14ac:dyDescent="0.3"/>
  </sheetData>
  <mergeCells count="37">
    <mergeCell ref="C8:E8"/>
    <mergeCell ref="G9:H9"/>
    <mergeCell ref="G4:H4"/>
    <mergeCell ref="G5:H5"/>
    <mergeCell ref="G6:H6"/>
    <mergeCell ref="G7:H7"/>
    <mergeCell ref="G8:H8"/>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91" zoomScale="140" zoomScaleNormal="140" workbookViewId="0">
      <selection activeCell="C113" sqref="C113"/>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674" t="s">
        <v>237</v>
      </c>
      <c r="B1" s="674"/>
      <c r="C1" s="674"/>
      <c r="D1" s="674"/>
      <c r="E1" s="674"/>
      <c r="F1" s="674"/>
      <c r="G1" s="674"/>
      <c r="H1" s="675"/>
      <c r="I1" s="675"/>
      <c r="J1" s="675"/>
    </row>
    <row r="2" spans="1:10" s="24" customFormat="1" ht="15.75" customHeight="1" x14ac:dyDescent="0.3">
      <c r="A2" s="676" t="s">
        <v>0</v>
      </c>
      <c r="B2" s="677"/>
      <c r="C2" s="677"/>
      <c r="D2" s="678"/>
      <c r="E2" s="312"/>
      <c r="F2" s="679" t="s">
        <v>1</v>
      </c>
      <c r="G2" s="680"/>
      <c r="H2" s="680"/>
      <c r="I2" s="680"/>
      <c r="J2" s="681"/>
    </row>
    <row r="3" spans="1:10" s="24" customFormat="1" ht="15.75" customHeight="1" x14ac:dyDescent="0.25">
      <c r="A3" s="313" t="s">
        <v>2</v>
      </c>
      <c r="B3" s="682" t="str">
        <f>'Masque de Saisie'!G4</f>
        <v xml:space="preserve">ATGR </v>
      </c>
      <c r="C3" s="683"/>
      <c r="D3" s="684"/>
      <c r="E3" s="314"/>
      <c r="F3" s="315" t="s">
        <v>2</v>
      </c>
      <c r="G3" s="669" t="str">
        <f>'Masque de Saisie'!E26</f>
        <v xml:space="preserve">MARTINO </v>
      </c>
      <c r="H3" s="669"/>
      <c r="I3" s="669"/>
      <c r="J3" s="669"/>
    </row>
    <row r="4" spans="1:10" s="24" customFormat="1" ht="15.75" customHeight="1" x14ac:dyDescent="0.25">
      <c r="A4" s="313" t="s">
        <v>3</v>
      </c>
      <c r="B4" s="682" t="str">
        <f>'Masque de Saisie'!G5</f>
        <v xml:space="preserve">3 Rue Paul Vaillant Couturier 92300 Levallois-Perret </v>
      </c>
      <c r="C4" s="683"/>
      <c r="D4" s="684"/>
      <c r="E4" s="314"/>
      <c r="F4" s="315" t="s">
        <v>4</v>
      </c>
      <c r="G4" s="669" t="str">
        <f>'Masque de Saisie'!E27</f>
        <v xml:space="preserve">Ange </v>
      </c>
      <c r="H4" s="669"/>
      <c r="I4" s="669"/>
      <c r="J4" s="669"/>
    </row>
    <row r="5" spans="1:10" s="24" customFormat="1" ht="15.75" customHeight="1" x14ac:dyDescent="0.25">
      <c r="A5" s="313"/>
      <c r="B5" s="666"/>
      <c r="C5" s="667"/>
      <c r="D5" s="668"/>
      <c r="E5" s="314"/>
      <c r="F5" s="315" t="s">
        <v>5</v>
      </c>
      <c r="G5" s="669" t="str">
        <f>'Masque de Saisie'!E29</f>
        <v xml:space="preserve">Architecte </v>
      </c>
      <c r="H5" s="669"/>
      <c r="I5" s="669"/>
      <c r="J5" s="669"/>
    </row>
    <row r="6" spans="1:10" s="24" customFormat="1" ht="15.75" customHeight="1" x14ac:dyDescent="0.25">
      <c r="A6" s="313" t="s">
        <v>6</v>
      </c>
      <c r="B6" s="670">
        <f>'Masque de Saisie'!G6</f>
        <v>34464426500029</v>
      </c>
      <c r="C6" s="671"/>
      <c r="D6" s="672"/>
      <c r="E6" s="316"/>
      <c r="F6" s="315" t="s">
        <v>7</v>
      </c>
      <c r="G6" s="669">
        <f>'Masque de Saisie'!E30</f>
        <v>520</v>
      </c>
      <c r="H6" s="669"/>
      <c r="I6" s="669"/>
      <c r="J6" s="669"/>
    </row>
    <row r="7" spans="1:10" s="24" customFormat="1" ht="15.75" customHeight="1" x14ac:dyDescent="0.25">
      <c r="A7" s="313" t="s">
        <v>8</v>
      </c>
      <c r="B7" s="666" t="str">
        <f>'Masque de Saisie'!G7</f>
        <v xml:space="preserve">7111C </v>
      </c>
      <c r="C7" s="667"/>
      <c r="D7" s="668"/>
      <c r="E7" s="314"/>
      <c r="F7" s="315" t="s">
        <v>9</v>
      </c>
      <c r="G7" s="673" t="str">
        <f>'Masque de Saisie'!E31</f>
        <v>1.91.02.297.820. 957</v>
      </c>
      <c r="H7" s="673"/>
      <c r="I7" s="673"/>
      <c r="J7" s="673"/>
    </row>
    <row r="8" spans="1:10" s="24" customFormat="1" ht="15.75" customHeight="1" x14ac:dyDescent="0.25">
      <c r="A8" s="313" t="s">
        <v>10</v>
      </c>
      <c r="B8" s="670"/>
      <c r="C8" s="671"/>
      <c r="D8" s="672"/>
      <c r="E8" s="316"/>
      <c r="F8" s="317" t="s">
        <v>3</v>
      </c>
      <c r="G8" s="669" t="str">
        <f>'Masque de Saisie'!E28</f>
        <v xml:space="preserve">15  Avenue du Val Fleuri 92700 Colombes </v>
      </c>
      <c r="H8" s="669"/>
      <c r="I8" s="669"/>
      <c r="J8" s="669"/>
    </row>
    <row r="9" spans="1:10" s="24" customFormat="1" ht="15.75" customHeight="1" x14ac:dyDescent="0.25">
      <c r="A9" s="313" t="s">
        <v>11</v>
      </c>
      <c r="B9" s="318">
        <f>'Masque de Saisie'!G9</f>
        <v>15</v>
      </c>
      <c r="C9" s="1001" t="str">
        <f>'Masque de Saisie'!E51</f>
        <v xml:space="preserve">Forfait 218 jours </v>
      </c>
      <c r="D9" s="668"/>
      <c r="E9" s="314"/>
      <c r="F9" s="691" t="s">
        <v>12</v>
      </c>
      <c r="G9" s="692"/>
      <c r="H9" s="319"/>
      <c r="I9" s="320">
        <f>'Masque de Saisie'!E33</f>
        <v>2</v>
      </c>
      <c r="J9" s="320" t="str">
        <f>'Masque de Saisie'!E32</f>
        <v>C</v>
      </c>
    </row>
    <row r="10" spans="1:10" s="24" customFormat="1" ht="15.75" customHeight="1" x14ac:dyDescent="0.25">
      <c r="A10" s="322" t="s">
        <v>13</v>
      </c>
      <c r="B10" s="323">
        <f>'Masque de Saisie'!E46</f>
        <v>151.66999999999999</v>
      </c>
      <c r="C10" s="320" t="s">
        <v>14</v>
      </c>
      <c r="D10" s="432">
        <f>'Masque de Saisie'!E43</f>
        <v>11.88</v>
      </c>
      <c r="E10" s="314"/>
      <c r="F10" s="666" t="s">
        <v>238</v>
      </c>
      <c r="G10" s="668"/>
      <c r="H10" s="373">
        <f>'Masque de Saisie'!E38</f>
        <v>45658</v>
      </c>
      <c r="I10" s="324" t="s">
        <v>15</v>
      </c>
      <c r="J10" s="373">
        <f>'Masque de Saisie'!E39</f>
        <v>45688</v>
      </c>
    </row>
    <row r="11" spans="1:10" s="24" customFormat="1" ht="33.75" customHeight="1" x14ac:dyDescent="0.25">
      <c r="A11" s="325"/>
      <c r="B11" s="693" t="s">
        <v>314</v>
      </c>
      <c r="C11" s="694"/>
      <c r="D11" s="695"/>
      <c r="E11" s="326"/>
      <c r="F11" s="325" t="s">
        <v>16</v>
      </c>
      <c r="G11" s="378">
        <f>'Masque de Saisie'!E39</f>
        <v>45688</v>
      </c>
      <c r="H11" s="64"/>
      <c r="I11" s="64"/>
      <c r="J11" s="379"/>
    </row>
    <row r="12" spans="1:10" s="24" customFormat="1" ht="15.75" customHeight="1" x14ac:dyDescent="0.25">
      <c r="A12" s="696"/>
      <c r="B12" s="697"/>
      <c r="C12" s="697"/>
      <c r="D12" s="697"/>
      <c r="E12" s="697"/>
      <c r="F12" s="697"/>
      <c r="G12" s="697"/>
      <c r="H12" s="697"/>
      <c r="I12" s="697"/>
      <c r="J12" s="697"/>
    </row>
    <row r="13" spans="1:10" s="24" customFormat="1" ht="16.2" customHeight="1" x14ac:dyDescent="0.25">
      <c r="A13" s="685" t="s">
        <v>324</v>
      </c>
      <c r="B13" s="686"/>
      <c r="C13" s="686"/>
      <c r="D13" s="686"/>
      <c r="E13" s="686"/>
      <c r="F13" s="687"/>
      <c r="G13" s="328">
        <f>'Masque de Saisie'!E42</f>
        <v>151.66999999999999</v>
      </c>
      <c r="H13" s="325" t="s">
        <v>17</v>
      </c>
      <c r="I13" s="329">
        <v>6.5932616865563398</v>
      </c>
      <c r="J13" s="330">
        <f>'Masque de Saisie'!E41</f>
        <v>6000</v>
      </c>
    </row>
    <row r="14" spans="1:10" s="24" customFormat="1" ht="16.8" hidden="1" customHeight="1" x14ac:dyDescent="0.25">
      <c r="A14" s="685" t="s">
        <v>239</v>
      </c>
      <c r="B14" s="686"/>
      <c r="C14" s="686"/>
      <c r="D14" s="686"/>
      <c r="E14" s="686"/>
      <c r="F14" s="687"/>
      <c r="G14" s="325"/>
      <c r="H14" s="325"/>
      <c r="I14" s="329"/>
      <c r="J14" s="330"/>
    </row>
    <row r="15" spans="1:10" s="24" customFormat="1" ht="16.8" hidden="1" customHeight="1" x14ac:dyDescent="0.25">
      <c r="A15" s="685"/>
      <c r="B15" s="686"/>
      <c r="C15" s="686"/>
      <c r="D15" s="686"/>
      <c r="E15" s="686"/>
      <c r="F15" s="687"/>
      <c r="G15" s="331"/>
      <c r="H15" s="332"/>
      <c r="I15" s="329"/>
      <c r="J15" s="330"/>
    </row>
    <row r="16" spans="1:10" s="24" customFormat="1" ht="16.8" hidden="1" customHeight="1" x14ac:dyDescent="0.25">
      <c r="A16" s="688" t="s">
        <v>415</v>
      </c>
      <c r="B16" s="689"/>
      <c r="C16" s="689"/>
      <c r="D16" s="689"/>
      <c r="E16" s="689"/>
      <c r="F16" s="690"/>
      <c r="G16" s="331"/>
      <c r="H16" s="332"/>
      <c r="I16" s="329"/>
      <c r="J16" s="330"/>
    </row>
    <row r="17" spans="1:10" s="24" customFormat="1" ht="16.8" hidden="1" customHeight="1" x14ac:dyDescent="0.25">
      <c r="A17" s="688" t="s">
        <v>18</v>
      </c>
      <c r="B17" s="689"/>
      <c r="C17" s="689"/>
      <c r="D17" s="689"/>
      <c r="E17" s="689"/>
      <c r="F17" s="690"/>
      <c r="G17" s="331"/>
      <c r="H17" s="332" t="s">
        <v>17</v>
      </c>
      <c r="I17" s="329"/>
      <c r="J17" s="330"/>
    </row>
    <row r="18" spans="1:10" s="24" customFormat="1" ht="16.8" hidden="1" customHeight="1" x14ac:dyDescent="0.25">
      <c r="A18" s="688" t="s">
        <v>240</v>
      </c>
      <c r="B18" s="689"/>
      <c r="C18" s="689"/>
      <c r="D18" s="689"/>
      <c r="E18" s="689"/>
      <c r="F18" s="690"/>
      <c r="G18" s="331"/>
      <c r="H18" s="332" t="s">
        <v>17</v>
      </c>
      <c r="I18" s="329"/>
      <c r="J18" s="330">
        <f t="shared" ref="J18:J21" si="0">ROUND(G18*I18,2)</f>
        <v>0</v>
      </c>
    </row>
    <row r="19" spans="1:10" s="24" customFormat="1" ht="16.8" hidden="1" customHeight="1" x14ac:dyDescent="0.25">
      <c r="A19" s="688" t="s">
        <v>241</v>
      </c>
      <c r="B19" s="689"/>
      <c r="C19" s="689"/>
      <c r="D19" s="689"/>
      <c r="E19" s="689"/>
      <c r="F19" s="690"/>
      <c r="G19" s="331"/>
      <c r="H19" s="332" t="s">
        <v>17</v>
      </c>
      <c r="I19" s="329"/>
      <c r="J19" s="330">
        <f t="shared" si="0"/>
        <v>0</v>
      </c>
    </row>
    <row r="20" spans="1:10" s="24" customFormat="1" ht="16.8" hidden="1" customHeight="1" x14ac:dyDescent="0.25">
      <c r="A20" s="688" t="s">
        <v>242</v>
      </c>
      <c r="B20" s="689"/>
      <c r="C20" s="689"/>
      <c r="D20" s="689"/>
      <c r="E20" s="689"/>
      <c r="F20" s="690"/>
      <c r="G20" s="331"/>
      <c r="H20" s="332" t="s">
        <v>17</v>
      </c>
      <c r="I20" s="329"/>
      <c r="J20" s="330">
        <f t="shared" si="0"/>
        <v>0</v>
      </c>
    </row>
    <row r="21" spans="1:10" s="24" customFormat="1" ht="16.8" hidden="1" customHeight="1" x14ac:dyDescent="0.25">
      <c r="A21" s="688" t="s">
        <v>243</v>
      </c>
      <c r="B21" s="689"/>
      <c r="C21" s="689"/>
      <c r="D21" s="689"/>
      <c r="E21" s="689"/>
      <c r="F21" s="690"/>
      <c r="G21" s="460">
        <f>'Masque de Saisie'!E45</f>
        <v>0</v>
      </c>
      <c r="H21" s="332" t="s">
        <v>17</v>
      </c>
      <c r="I21" s="329">
        <f>ROUND(((J13+J16)*1.25/G13),6)</f>
        <v>49.449463000000002</v>
      </c>
      <c r="J21" s="330">
        <f t="shared" si="0"/>
        <v>0</v>
      </c>
    </row>
    <row r="22" spans="1:10" s="24" customFormat="1" ht="16.8" hidden="1" customHeight="1" x14ac:dyDescent="0.25">
      <c r="A22" s="688" t="s">
        <v>244</v>
      </c>
      <c r="B22" s="689"/>
      <c r="C22" s="689"/>
      <c r="D22" s="689"/>
      <c r="E22" s="689"/>
      <c r="F22" s="690"/>
      <c r="G22" s="331"/>
      <c r="H22" s="332" t="s">
        <v>19</v>
      </c>
      <c r="I22" s="325"/>
      <c r="J22" s="330"/>
    </row>
    <row r="23" spans="1:10" s="24" customFormat="1" ht="16.8" hidden="1" customHeight="1" x14ac:dyDescent="0.25">
      <c r="A23" s="688" t="s">
        <v>511</v>
      </c>
      <c r="B23" s="689"/>
      <c r="C23" s="689"/>
      <c r="D23" s="689"/>
      <c r="E23" s="689"/>
      <c r="F23" s="690"/>
      <c r="G23" s="327"/>
      <c r="H23" s="333"/>
      <c r="I23" s="321"/>
      <c r="J23" s="334"/>
    </row>
    <row r="24" spans="1:10" s="24" customFormat="1" ht="16.8" hidden="1" customHeight="1" x14ac:dyDescent="0.25">
      <c r="A24" s="688" t="s">
        <v>20</v>
      </c>
      <c r="B24" s="689"/>
      <c r="C24" s="689"/>
      <c r="D24" s="689"/>
      <c r="E24" s="689"/>
      <c r="F24" s="690"/>
      <c r="G24" s="327"/>
      <c r="H24" s="333"/>
      <c r="I24" s="321"/>
      <c r="J24" s="334"/>
    </row>
    <row r="25" spans="1:10" s="24" customFormat="1" ht="16.8" hidden="1" customHeight="1" x14ac:dyDescent="0.25">
      <c r="A25" s="688" t="s">
        <v>21</v>
      </c>
      <c r="B25" s="689"/>
      <c r="C25" s="689"/>
      <c r="D25" s="689"/>
      <c r="E25" s="689"/>
      <c r="F25" s="690"/>
      <c r="G25" s="327"/>
      <c r="H25" s="333"/>
      <c r="I25" s="321"/>
      <c r="J25" s="334"/>
    </row>
    <row r="26" spans="1:10" s="24" customFormat="1" ht="16.8" hidden="1" customHeight="1" x14ac:dyDescent="0.25">
      <c r="A26" s="685" t="s">
        <v>22</v>
      </c>
      <c r="B26" s="686"/>
      <c r="C26" s="686"/>
      <c r="D26" s="686"/>
      <c r="E26" s="686"/>
      <c r="F26" s="687"/>
      <c r="G26" s="327"/>
      <c r="H26" s="333"/>
      <c r="I26" s="321"/>
      <c r="J26" s="334"/>
    </row>
    <row r="27" spans="1:10" s="24" customFormat="1" ht="16.8" hidden="1" customHeight="1" x14ac:dyDescent="0.25">
      <c r="A27" s="685" t="s">
        <v>23</v>
      </c>
      <c r="B27" s="686"/>
      <c r="C27" s="686"/>
      <c r="D27" s="686"/>
      <c r="E27" s="686"/>
      <c r="F27" s="687"/>
      <c r="G27" s="327"/>
      <c r="H27" s="333"/>
      <c r="I27" s="321"/>
      <c r="J27" s="334"/>
    </row>
    <row r="28" spans="1:10" s="24" customFormat="1" ht="16.8" hidden="1" customHeight="1" x14ac:dyDescent="0.25">
      <c r="A28" s="685" t="s">
        <v>24</v>
      </c>
      <c r="B28" s="686"/>
      <c r="C28" s="686"/>
      <c r="D28" s="686"/>
      <c r="E28" s="686"/>
      <c r="F28" s="687"/>
      <c r="G28" s="327"/>
      <c r="H28" s="333"/>
      <c r="I28" s="321"/>
      <c r="J28" s="334"/>
    </row>
    <row r="29" spans="1:10" s="24" customFormat="1" ht="16.8" hidden="1" customHeight="1" x14ac:dyDescent="0.25">
      <c r="A29" s="685" t="s">
        <v>25</v>
      </c>
      <c r="B29" s="686"/>
      <c r="C29" s="686"/>
      <c r="D29" s="686"/>
      <c r="E29" s="686"/>
      <c r="F29" s="687"/>
      <c r="G29" s="327"/>
      <c r="H29" s="333"/>
      <c r="I29" s="321"/>
      <c r="J29" s="334"/>
    </row>
    <row r="30" spans="1:10" s="24" customFormat="1" ht="16.8" hidden="1" customHeight="1" x14ac:dyDescent="0.25">
      <c r="A30" s="685" t="s">
        <v>26</v>
      </c>
      <c r="B30" s="686"/>
      <c r="C30" s="686"/>
      <c r="D30" s="686"/>
      <c r="E30" s="686"/>
      <c r="F30" s="687"/>
      <c r="G30" s="327"/>
      <c r="H30" s="333"/>
      <c r="I30" s="321"/>
      <c r="J30" s="334"/>
    </row>
    <row r="31" spans="1:10" s="24" customFormat="1" ht="16.8" hidden="1" customHeight="1" x14ac:dyDescent="0.25">
      <c r="A31" s="685" t="s">
        <v>27</v>
      </c>
      <c r="B31" s="686"/>
      <c r="C31" s="686"/>
      <c r="D31" s="686"/>
      <c r="E31" s="686"/>
      <c r="F31" s="687"/>
      <c r="G31" s="327"/>
      <c r="H31" s="333"/>
      <c r="I31" s="321"/>
      <c r="J31" s="334"/>
    </row>
    <row r="32" spans="1:10" s="24" customFormat="1" ht="16.8" hidden="1" customHeight="1" x14ac:dyDescent="0.25">
      <c r="A32" s="685"/>
      <c r="B32" s="686"/>
      <c r="C32" s="686"/>
      <c r="D32" s="686"/>
      <c r="E32" s="686"/>
      <c r="F32" s="687"/>
      <c r="G32" s="327"/>
      <c r="H32" s="333"/>
      <c r="I32" s="321"/>
      <c r="J32" s="334"/>
    </row>
    <row r="33" spans="1:16" s="24" customFormat="1" ht="16.8" customHeight="1" x14ac:dyDescent="0.3">
      <c r="A33" s="702" t="s">
        <v>28</v>
      </c>
      <c r="B33" s="703"/>
      <c r="C33" s="335">
        <f>'Masque de Saisie'!E44</f>
        <v>3925</v>
      </c>
      <c r="D33" s="704" t="s">
        <v>29</v>
      </c>
      <c r="E33" s="704"/>
      <c r="F33" s="704"/>
      <c r="G33" s="704"/>
      <c r="H33" s="704"/>
      <c r="I33" s="704"/>
      <c r="J33" s="433">
        <f>SUM(J13:J32)</f>
        <v>6000</v>
      </c>
    </row>
    <row r="34" spans="1:16" s="20" customFormat="1" ht="16.8" customHeight="1" x14ac:dyDescent="0.25">
      <c r="A34" s="705" t="s">
        <v>30</v>
      </c>
      <c r="B34" s="705"/>
      <c r="C34" s="56" t="s">
        <v>31</v>
      </c>
      <c r="D34" s="380" t="s">
        <v>32</v>
      </c>
      <c r="E34" s="380" t="s">
        <v>33</v>
      </c>
      <c r="F34" s="381" t="s">
        <v>34</v>
      </c>
      <c r="G34" s="381" t="s">
        <v>35</v>
      </c>
      <c r="I34" s="21"/>
      <c r="J34" s="21"/>
      <c r="K34" s="22"/>
    </row>
    <row r="35" spans="1:16" ht="12" customHeight="1" x14ac:dyDescent="0.3">
      <c r="A35" s="706" t="s">
        <v>36</v>
      </c>
      <c r="B35" s="706"/>
      <c r="C35" s="1"/>
      <c r="D35" s="3"/>
      <c r="E35" s="3"/>
      <c r="F35" s="1"/>
      <c r="G35" s="1"/>
    </row>
    <row r="36" spans="1:16" ht="17.399999999999999" customHeight="1" x14ac:dyDescent="0.3">
      <c r="A36" s="698" t="s">
        <v>85</v>
      </c>
      <c r="B36" s="698"/>
      <c r="C36" s="13">
        <f>J33</f>
        <v>6000</v>
      </c>
      <c r="D36" s="33"/>
      <c r="E36" s="34">
        <f t="shared" ref="E36:E37" si="1" xml:space="preserve"> VLOOKUP(A36,TAUX2023,4,FALSE)</f>
        <v>7.0000000000000007E-2</v>
      </c>
      <c r="F36" s="40">
        <f>ROUND(C36*D36,2)</f>
        <v>0</v>
      </c>
      <c r="G36" s="40">
        <f>ROUND(C36*E36,2)</f>
        <v>420</v>
      </c>
      <c r="H36" s="556"/>
      <c r="I36" s="556"/>
      <c r="J36" s="2"/>
      <c r="O36" s="699"/>
      <c r="P36" s="699"/>
    </row>
    <row r="37" spans="1:16" ht="17.399999999999999" customHeight="1" x14ac:dyDescent="0.3">
      <c r="A37" s="698" t="s">
        <v>205</v>
      </c>
      <c r="B37" s="698"/>
      <c r="C37" s="39">
        <f>IF(J33&gt;2.25*B10*'TABLE DES TAUX 2025 '!D53,J33,0)</f>
        <v>6000</v>
      </c>
      <c r="D37" s="169"/>
      <c r="E37" s="34">
        <f t="shared" si="1"/>
        <v>0.06</v>
      </c>
      <c r="F37" s="40">
        <f t="shared" ref="F37:F67" si="2">ROUND(C37*D37,2)</f>
        <v>0</v>
      </c>
      <c r="G37" s="13">
        <f t="shared" ref="G37:G70" si="3">ROUND(C37*E37,2)</f>
        <v>360</v>
      </c>
      <c r="H37" s="556"/>
      <c r="I37" s="556"/>
      <c r="O37" s="699"/>
      <c r="P37" s="699"/>
    </row>
    <row r="38" spans="1:16" ht="15.6" customHeight="1" x14ac:dyDescent="0.3">
      <c r="A38" s="700" t="s">
        <v>201</v>
      </c>
      <c r="B38" s="701"/>
      <c r="C38" s="13">
        <f>IF(I9=2,J33,0)</f>
        <v>6000</v>
      </c>
      <c r="D38" s="33">
        <f>'Masque de Saisie'!G15</f>
        <v>8.0000000000000002E-3</v>
      </c>
      <c r="E38" s="33">
        <f>'Masque de Saisie'!H15</f>
        <v>8.0000000000000002E-3</v>
      </c>
      <c r="F38" s="40">
        <f t="shared" si="2"/>
        <v>48</v>
      </c>
      <c r="G38" s="13">
        <f t="shared" si="3"/>
        <v>48</v>
      </c>
      <c r="H38" s="24"/>
      <c r="I38" s="2"/>
      <c r="O38" s="699"/>
      <c r="P38" s="699"/>
    </row>
    <row r="39" spans="1:16" ht="15.6" hidden="1" customHeight="1" x14ac:dyDescent="0.3">
      <c r="A39" s="700" t="s">
        <v>255</v>
      </c>
      <c r="B39" s="701"/>
      <c r="C39" s="40">
        <f>IF(I9=2,0,J33)</f>
        <v>0</v>
      </c>
      <c r="D39" s="33">
        <f>'Masque de Saisie'!G12</f>
        <v>0</v>
      </c>
      <c r="E39" s="33">
        <f>'Masque de Saisie'!H12</f>
        <v>0</v>
      </c>
      <c r="F39" s="40">
        <f t="shared" si="2"/>
        <v>0</v>
      </c>
      <c r="G39" s="13">
        <f t="shared" si="3"/>
        <v>0</v>
      </c>
      <c r="H39" s="24"/>
      <c r="I39" s="2"/>
      <c r="O39" s="699"/>
      <c r="P39" s="699"/>
    </row>
    <row r="40" spans="1:16" ht="15.6" hidden="1" customHeight="1" x14ac:dyDescent="0.3">
      <c r="A40" s="700" t="s">
        <v>259</v>
      </c>
      <c r="B40" s="701"/>
      <c r="C40" s="40">
        <f>C39</f>
        <v>0</v>
      </c>
      <c r="D40" s="33">
        <f>'Masque de Saisie'!G13</f>
        <v>0</v>
      </c>
      <c r="E40" s="33">
        <f>'Masque de Saisie'!H13</f>
        <v>0</v>
      </c>
      <c r="F40" s="40">
        <f t="shared" si="2"/>
        <v>0</v>
      </c>
      <c r="G40" s="13">
        <f t="shared" si="3"/>
        <v>0</v>
      </c>
      <c r="H40" s="24"/>
      <c r="I40" s="2"/>
      <c r="O40" s="699"/>
      <c r="P40" s="699"/>
    </row>
    <row r="41" spans="1:16" ht="15" hidden="1" customHeight="1" x14ac:dyDescent="0.3">
      <c r="A41" s="700" t="s">
        <v>260</v>
      </c>
      <c r="B41" s="701"/>
      <c r="C41" s="13">
        <f>C38</f>
        <v>6000</v>
      </c>
      <c r="D41" s="33">
        <f>'Masque de Saisie'!G16</f>
        <v>0</v>
      </c>
      <c r="E41" s="33">
        <f>+'Masque de Saisie'!H16</f>
        <v>0</v>
      </c>
      <c r="F41" s="40">
        <f t="shared" si="2"/>
        <v>0</v>
      </c>
      <c r="G41" s="13">
        <f t="shared" si="3"/>
        <v>0</v>
      </c>
      <c r="H41" s="552"/>
      <c r="I41" s="24"/>
      <c r="J41" s="42"/>
      <c r="O41" s="699"/>
      <c r="P41" s="699"/>
    </row>
    <row r="42" spans="1:16" ht="18" customHeight="1" x14ac:dyDescent="0.3">
      <c r="A42" s="698" t="s">
        <v>206</v>
      </c>
      <c r="B42" s="698"/>
      <c r="C42" s="40">
        <f>IF(I9=2,IF(E41=0,IF(J33&gt;C33,C33,J33),0),0)</f>
        <v>3925</v>
      </c>
      <c r="D42" s="33"/>
      <c r="E42" s="34">
        <f>'Masque de Saisie'!H18</f>
        <v>1.4999999999999999E-2</v>
      </c>
      <c r="F42" s="40">
        <f>ROUND(C42*D42,2)</f>
        <v>0</v>
      </c>
      <c r="G42" s="13">
        <f>ROUND(C42*E42,2)</f>
        <v>58.88</v>
      </c>
      <c r="H42" s="552"/>
      <c r="I42" s="24"/>
      <c r="J42" s="42"/>
      <c r="O42" s="184"/>
      <c r="P42" s="184"/>
    </row>
    <row r="43" spans="1:16" ht="15" hidden="1" customHeight="1" x14ac:dyDescent="0.3">
      <c r="A43" s="708" t="s">
        <v>409</v>
      </c>
      <c r="B43" s="708"/>
      <c r="C43" s="221">
        <f>J33</f>
        <v>6000</v>
      </c>
      <c r="D43" s="33">
        <f>'Masque de Saisie'!G17</f>
        <v>0</v>
      </c>
      <c r="E43" s="34">
        <f>+'Masque de Saisie'!H17</f>
        <v>0</v>
      </c>
      <c r="F43" s="40">
        <f>ROUND(C43*D43,2)</f>
        <v>0</v>
      </c>
      <c r="G43" s="13">
        <f>ROUND(C43*E43,2)</f>
        <v>0</v>
      </c>
      <c r="H43" s="552"/>
      <c r="I43" s="24"/>
      <c r="J43" s="42"/>
      <c r="O43" s="184"/>
      <c r="P43" s="184"/>
    </row>
    <row r="44" spans="1:16" ht="15" hidden="1" customHeight="1" x14ac:dyDescent="0.3">
      <c r="A44" s="709"/>
      <c r="B44" s="710"/>
      <c r="C44" s="4"/>
      <c r="D44" s="4"/>
      <c r="E44" s="4"/>
      <c r="F44" s="4"/>
      <c r="G44" s="4"/>
      <c r="H44" s="552"/>
      <c r="I44" s="24"/>
      <c r="J44" s="24"/>
      <c r="O44" s="699"/>
      <c r="P44" s="699"/>
    </row>
    <row r="45" spans="1:16" ht="15" hidden="1" customHeight="1" x14ac:dyDescent="0.3">
      <c r="A45" s="707"/>
      <c r="B45" s="707"/>
      <c r="C45" s="13"/>
      <c r="D45" s="33"/>
      <c r="E45" s="34"/>
      <c r="F45" s="40"/>
      <c r="G45" s="13"/>
      <c r="H45" s="552"/>
      <c r="I45" s="24"/>
      <c r="J45" s="24"/>
      <c r="O45" s="699"/>
      <c r="P45" s="699"/>
    </row>
    <row r="46" spans="1:16" ht="15" hidden="1" customHeight="1" x14ac:dyDescent="0.3">
      <c r="A46" s="707"/>
      <c r="B46" s="707"/>
      <c r="C46" s="13"/>
      <c r="D46" s="33"/>
      <c r="E46" s="34"/>
      <c r="F46" s="40"/>
      <c r="G46" s="13"/>
      <c r="H46" s="552"/>
      <c r="I46" s="24"/>
      <c r="J46" s="24"/>
      <c r="O46" s="699"/>
      <c r="P46" s="699"/>
    </row>
    <row r="47" spans="1:16" ht="15" customHeight="1" x14ac:dyDescent="0.3">
      <c r="A47" s="713" t="s">
        <v>37</v>
      </c>
      <c r="B47" s="713"/>
      <c r="C47" s="15">
        <f>J33</f>
        <v>6000</v>
      </c>
      <c r="D47" s="33"/>
      <c r="E47" s="34">
        <f>'Masque de Saisie'!H21</f>
        <v>1.2999999999999999E-2</v>
      </c>
      <c r="F47" s="40">
        <f t="shared" si="2"/>
        <v>0</v>
      </c>
      <c r="G47" s="13">
        <f t="shared" si="3"/>
        <v>78</v>
      </c>
      <c r="H47" s="552"/>
      <c r="L47" s="714"/>
    </row>
    <row r="48" spans="1:16" ht="16.5" customHeight="1" x14ac:dyDescent="0.3">
      <c r="A48" s="713" t="s">
        <v>38</v>
      </c>
      <c r="B48" s="713"/>
      <c r="C48" s="16"/>
      <c r="D48" s="33"/>
      <c r="E48" s="34"/>
      <c r="F48" s="40"/>
      <c r="G48" s="13"/>
      <c r="H48" s="552"/>
      <c r="L48" s="714"/>
    </row>
    <row r="49" spans="1:17" ht="18" customHeight="1" x14ac:dyDescent="0.3">
      <c r="A49" s="708" t="s">
        <v>39</v>
      </c>
      <c r="B49" s="708"/>
      <c r="C49" s="40">
        <f>IF(J33&gt;C33,C33,J33)</f>
        <v>3925</v>
      </c>
      <c r="D49" s="33">
        <f>VLOOKUP(A49,TAUX2023,3,FALSE)</f>
        <v>6.9000000000000006E-2</v>
      </c>
      <c r="E49" s="34">
        <f xml:space="preserve"> VLOOKUP(A49,TAUX2023,4,FALSE)</f>
        <v>8.5500000000000007E-2</v>
      </c>
      <c r="F49" s="40">
        <f t="shared" si="2"/>
        <v>270.83</v>
      </c>
      <c r="G49" s="13">
        <f t="shared" si="3"/>
        <v>335.59</v>
      </c>
      <c r="H49" s="552"/>
      <c r="I49" s="553"/>
      <c r="J49" s="553"/>
    </row>
    <row r="50" spans="1:17" ht="18" customHeight="1" x14ac:dyDescent="0.3">
      <c r="A50" s="708" t="s">
        <v>40</v>
      </c>
      <c r="B50" s="708"/>
      <c r="C50" s="13">
        <f>J33</f>
        <v>6000</v>
      </c>
      <c r="D50" s="33">
        <f>VLOOKUP(A50,TAUX2023,3,FALSE)</f>
        <v>4.0000000000000001E-3</v>
      </c>
      <c r="E50" s="34">
        <f xml:space="preserve"> VLOOKUP(A50,TAUX2023,4,FALSE)</f>
        <v>2.0199999999999999E-2</v>
      </c>
      <c r="F50" s="40">
        <f t="shared" si="2"/>
        <v>24</v>
      </c>
      <c r="G50" s="13">
        <f t="shared" si="3"/>
        <v>121.2</v>
      </c>
      <c r="H50" s="556"/>
      <c r="I50" s="556"/>
      <c r="J50" s="553"/>
    </row>
    <row r="51" spans="1:17" ht="16.8" customHeight="1" x14ac:dyDescent="0.3">
      <c r="A51" s="708" t="s">
        <v>41</v>
      </c>
      <c r="B51" s="708"/>
      <c r="C51" s="13">
        <f>IF(J33&gt;C33,C33,J33)</f>
        <v>3925</v>
      </c>
      <c r="D51" s="169">
        <f>'BP FORMAT JUILLET 2023'!D53</f>
        <v>4.1499999999999995E-2</v>
      </c>
      <c r="E51" s="170">
        <f>'BP FORMAT JUILLET 2023'!E53</f>
        <v>6.2199999999999998E-2</v>
      </c>
      <c r="F51" s="40">
        <f t="shared" si="2"/>
        <v>162.88999999999999</v>
      </c>
      <c r="G51" s="13">
        <f t="shared" si="3"/>
        <v>244.14</v>
      </c>
      <c r="H51" s="556"/>
      <c r="I51" s="556"/>
      <c r="J51" s="553"/>
      <c r="K51" s="6"/>
      <c r="M51" s="711"/>
      <c r="N51" s="711"/>
      <c r="O51" s="711"/>
    </row>
    <row r="52" spans="1:17" ht="15" customHeight="1" x14ac:dyDescent="0.3">
      <c r="A52" s="708" t="s">
        <v>42</v>
      </c>
      <c r="B52" s="708"/>
      <c r="C52" s="13">
        <f>IF(J33&gt;8*C33,7*C33,IF(J33&gt;C33,J33-C33,0))</f>
        <v>2075</v>
      </c>
      <c r="D52" s="169">
        <f>'BP FORMAT JUILLET 2023'!D54</f>
        <v>9.8600000000000007E-2</v>
      </c>
      <c r="E52" s="170">
        <f>'BP FORMAT JUILLET 2023'!E54</f>
        <v>0.14779999999999999</v>
      </c>
      <c r="F52" s="40">
        <f t="shared" si="2"/>
        <v>204.6</v>
      </c>
      <c r="G52" s="13">
        <f t="shared" si="3"/>
        <v>306.69</v>
      </c>
      <c r="H52" s="556"/>
      <c r="I52" s="556"/>
      <c r="J52" s="553"/>
      <c r="K52" s="6"/>
      <c r="M52" s="712"/>
      <c r="N52" s="712"/>
      <c r="O52" s="9"/>
      <c r="P52" s="11"/>
      <c r="Q52" s="9"/>
    </row>
    <row r="53" spans="1:17" ht="10.8" hidden="1" customHeight="1" x14ac:dyDescent="0.3">
      <c r="A53" s="707"/>
      <c r="B53" s="707"/>
      <c r="C53" s="13"/>
      <c r="D53" s="169"/>
      <c r="E53" s="170"/>
      <c r="F53" s="40"/>
      <c r="G53" s="13"/>
      <c r="H53" s="556"/>
      <c r="I53" s="556"/>
      <c r="J53" s="553"/>
      <c r="K53" s="6"/>
      <c r="M53" s="55"/>
      <c r="N53" s="55"/>
      <c r="O53" s="9"/>
      <c r="P53" s="11"/>
      <c r="Q53" s="9"/>
    </row>
    <row r="54" spans="1:17" ht="10.8" hidden="1" customHeight="1" x14ac:dyDescent="0.3">
      <c r="A54" s="707"/>
      <c r="B54" s="707"/>
      <c r="C54" s="13"/>
      <c r="D54" s="169"/>
      <c r="E54" s="170"/>
      <c r="F54" s="40"/>
      <c r="G54" s="13"/>
      <c r="H54" s="556"/>
      <c r="I54" s="556"/>
      <c r="J54" s="553"/>
      <c r="K54" s="6"/>
      <c r="M54" s="55"/>
      <c r="N54" s="55"/>
      <c r="O54" s="9"/>
      <c r="P54" s="11"/>
      <c r="Q54" s="9"/>
    </row>
    <row r="55" spans="1:17" ht="10.8" hidden="1" customHeight="1" x14ac:dyDescent="0.3">
      <c r="A55" s="707"/>
      <c r="B55" s="707"/>
      <c r="C55" s="173"/>
      <c r="D55" s="169"/>
      <c r="E55" s="170"/>
      <c r="F55" s="40"/>
      <c r="G55" s="13"/>
      <c r="H55" s="556"/>
      <c r="I55" s="556"/>
      <c r="J55" s="553"/>
      <c r="K55" s="6"/>
      <c r="M55" s="55"/>
      <c r="N55" s="55"/>
      <c r="O55" s="9"/>
      <c r="P55" s="11"/>
      <c r="Q55" s="9"/>
    </row>
    <row r="56" spans="1:17" ht="10.8" hidden="1" customHeight="1" x14ac:dyDescent="0.3">
      <c r="A56" s="707"/>
      <c r="B56" s="707"/>
      <c r="C56" s="13"/>
      <c r="D56" s="169"/>
      <c r="E56" s="170"/>
      <c r="F56" s="40"/>
      <c r="G56" s="13"/>
      <c r="H56" s="556"/>
      <c r="I56" s="556"/>
      <c r="J56" s="553"/>
      <c r="K56" s="6"/>
      <c r="M56" s="55"/>
      <c r="N56" s="55"/>
      <c r="O56" s="9"/>
      <c r="P56" s="11"/>
      <c r="Q56" s="9"/>
    </row>
    <row r="57" spans="1:17" ht="10.8" customHeight="1" x14ac:dyDescent="0.3">
      <c r="A57" s="719" t="s">
        <v>43</v>
      </c>
      <c r="B57" s="719"/>
      <c r="D57" s="33"/>
      <c r="E57" s="34"/>
      <c r="F57" s="40"/>
      <c r="G57" s="13"/>
      <c r="H57" s="556"/>
      <c r="I57" s="556"/>
      <c r="J57" s="553"/>
      <c r="M57" s="715"/>
      <c r="N57" s="715"/>
      <c r="P57" s="12"/>
      <c r="Q57" s="2"/>
    </row>
    <row r="58" spans="1:17" ht="15.6" customHeight="1" x14ac:dyDescent="0.3">
      <c r="A58" s="708" t="s">
        <v>71</v>
      </c>
      <c r="B58" s="708"/>
      <c r="C58" s="13">
        <f>J33</f>
        <v>6000</v>
      </c>
      <c r="D58" s="169"/>
      <c r="E58" s="170">
        <f xml:space="preserve"> VLOOKUP(A58,TAUX2023,4,FALSE)</f>
        <v>3.4500000000000003E-2</v>
      </c>
      <c r="F58" s="40">
        <f t="shared" si="2"/>
        <v>0</v>
      </c>
      <c r="G58" s="13">
        <f>ROUND(C58*E58,2)</f>
        <v>207</v>
      </c>
      <c r="H58" s="556"/>
      <c r="I58" s="556"/>
      <c r="J58" s="553"/>
      <c r="M58" s="48"/>
      <c r="N58" s="48"/>
      <c r="P58" s="12"/>
      <c r="Q58" s="2"/>
    </row>
    <row r="59" spans="1:17" ht="15.6" customHeight="1" x14ac:dyDescent="0.3">
      <c r="A59" s="708" t="s">
        <v>257</v>
      </c>
      <c r="B59" s="708"/>
      <c r="C59" s="40">
        <f>IF(J33&gt;3.3*'TABLE DES TAUX 2025 '!D53*B10,J33,0)</f>
        <v>6000</v>
      </c>
      <c r="D59" s="169"/>
      <c r="E59" s="170">
        <f xml:space="preserve"> VLOOKUP(A59,TAUX2023,4,FALSE)</f>
        <v>1.7999999999999999E-2</v>
      </c>
      <c r="F59" s="40">
        <f t="shared" si="2"/>
        <v>0</v>
      </c>
      <c r="G59" s="13">
        <f t="shared" si="3"/>
        <v>108</v>
      </c>
      <c r="H59" s="556"/>
      <c r="I59" s="556"/>
      <c r="J59" s="553"/>
      <c r="M59" s="48"/>
      <c r="N59" s="48"/>
      <c r="P59" s="12"/>
      <c r="Q59" s="2"/>
    </row>
    <row r="60" spans="1:17" ht="15.6" customHeight="1" x14ac:dyDescent="0.3">
      <c r="A60" s="713" t="s">
        <v>44</v>
      </c>
      <c r="B60" s="713"/>
      <c r="C60" s="18"/>
      <c r="D60" s="169"/>
      <c r="E60" s="170"/>
      <c r="F60" s="40">
        <f t="shared" si="2"/>
        <v>0</v>
      </c>
      <c r="G60" s="13"/>
      <c r="H60" s="556"/>
      <c r="I60" s="556"/>
      <c r="J60" s="553"/>
      <c r="M60" s="715"/>
      <c r="N60" s="715"/>
      <c r="O60" s="10"/>
    </row>
    <row r="61" spans="1:17" ht="15.6" customHeight="1" x14ac:dyDescent="0.3">
      <c r="A61" s="716" t="s">
        <v>209</v>
      </c>
      <c r="B61" s="716"/>
      <c r="C61" s="39">
        <f>IF(J33&gt;4*C33,4*C33,J33)</f>
        <v>6000</v>
      </c>
      <c r="D61" s="169"/>
      <c r="E61" s="170">
        <f>'TABLE DES TAUX 2025 '!E14+'TABLE DES TAUX 2025 '!E13</f>
        <v>4.3000000000000003E-2</v>
      </c>
      <c r="F61" s="40">
        <f t="shared" si="2"/>
        <v>0</v>
      </c>
      <c r="G61" s="13">
        <f t="shared" si="3"/>
        <v>258</v>
      </c>
      <c r="H61" s="556"/>
      <c r="I61" s="556"/>
      <c r="J61" s="553"/>
      <c r="M61" s="48"/>
      <c r="N61" s="48"/>
      <c r="O61" s="10"/>
    </row>
    <row r="62" spans="1:17" ht="15.6" hidden="1" customHeight="1" x14ac:dyDescent="0.3">
      <c r="A62" s="720"/>
      <c r="B62" s="721"/>
      <c r="C62" s="39"/>
      <c r="D62" s="169"/>
      <c r="E62" s="170"/>
      <c r="F62" s="40"/>
      <c r="G62" s="13"/>
      <c r="H62" s="556"/>
      <c r="I62" s="556"/>
      <c r="M62" s="48"/>
      <c r="N62" s="48"/>
      <c r="O62" s="10"/>
    </row>
    <row r="63" spans="1:17" ht="15.6" customHeight="1" x14ac:dyDescent="0.3">
      <c r="A63" s="717" t="s">
        <v>284</v>
      </c>
      <c r="B63" s="718"/>
      <c r="C63" s="39">
        <f>IF(I9=2,C61,0)</f>
        <v>6000</v>
      </c>
      <c r="D63" s="171">
        <f>VLOOKUP(A63,TAUX2023,3,FALSE)</f>
        <v>2.4000000000000001E-4</v>
      </c>
      <c r="E63" s="172">
        <f xml:space="preserve"> VLOOKUP(A63,TAUX2023,4,FALSE)</f>
        <v>3.6000000000000002E-4</v>
      </c>
      <c r="F63" s="40">
        <f t="shared" si="2"/>
        <v>1.44</v>
      </c>
      <c r="G63" s="13">
        <f t="shared" si="3"/>
        <v>2.16</v>
      </c>
      <c r="H63" s="556"/>
      <c r="I63" s="556"/>
      <c r="M63" s="48"/>
      <c r="N63" s="48"/>
      <c r="O63" s="10"/>
    </row>
    <row r="64" spans="1:17" ht="17.399999999999999" customHeight="1" x14ac:dyDescent="0.3">
      <c r="A64" s="719" t="s">
        <v>45</v>
      </c>
      <c r="B64" s="719"/>
      <c r="C64" s="13"/>
      <c r="D64" s="171"/>
      <c r="E64" s="172"/>
      <c r="F64" s="40">
        <f t="shared" si="2"/>
        <v>0</v>
      </c>
      <c r="G64" s="13">
        <f>E120</f>
        <v>324.24</v>
      </c>
      <c r="H64" s="556"/>
      <c r="I64" s="556"/>
      <c r="M64" s="715"/>
      <c r="N64" s="715"/>
      <c r="O64" s="5"/>
    </row>
    <row r="65" spans="1:12" ht="33.75" hidden="1" customHeight="1" x14ac:dyDescent="0.3">
      <c r="A65" s="722" t="s">
        <v>47</v>
      </c>
      <c r="B65" s="722"/>
      <c r="C65" s="18"/>
      <c r="D65" s="33"/>
      <c r="E65" s="14"/>
      <c r="F65" s="40"/>
      <c r="G65" s="13"/>
      <c r="H65" s="556"/>
      <c r="I65" s="556"/>
    </row>
    <row r="66" spans="1:12" ht="21.75" customHeight="1" x14ac:dyDescent="0.3">
      <c r="A66" s="698" t="s">
        <v>48</v>
      </c>
      <c r="B66" s="698"/>
      <c r="C66" s="40">
        <f>'HEURES SUPPLEMENTAIRES '!F136</f>
        <v>6001.88</v>
      </c>
      <c r="D66" s="169">
        <f>VLOOKUP(A66,TAUX2023,3,FALSE)</f>
        <v>6.8000000000000005E-2</v>
      </c>
      <c r="E66" s="182"/>
      <c r="F66" s="40">
        <f t="shared" si="2"/>
        <v>408.13</v>
      </c>
      <c r="G66" s="13"/>
      <c r="H66" s="556"/>
      <c r="I66" s="556"/>
      <c r="J66" s="2"/>
    </row>
    <row r="67" spans="1:12" ht="21.75" customHeight="1" x14ac:dyDescent="0.3">
      <c r="A67" s="698" t="s">
        <v>49</v>
      </c>
      <c r="B67" s="698"/>
      <c r="C67" s="13">
        <f>C66</f>
        <v>6001.88</v>
      </c>
      <c r="D67" s="169">
        <f>VLOOKUP(A67,TAUX2023,3,FALSE)</f>
        <v>2.9000000000000001E-2</v>
      </c>
      <c r="E67" s="182"/>
      <c r="F67" s="40">
        <f t="shared" si="2"/>
        <v>174.05</v>
      </c>
      <c r="G67" s="13"/>
      <c r="H67" s="556"/>
      <c r="I67" s="556"/>
      <c r="J67" s="2"/>
      <c r="K67" s="2"/>
    </row>
    <row r="68" spans="1:12" ht="21" hidden="1" customHeight="1" x14ac:dyDescent="0.3">
      <c r="A68" s="698" t="s">
        <v>50</v>
      </c>
      <c r="B68" s="698"/>
      <c r="C68" s="13">
        <f>'BP FORMAT JUILLET 2023'!C68</f>
        <v>0</v>
      </c>
      <c r="D68" s="169">
        <f>+D66</f>
        <v>6.8000000000000005E-2</v>
      </c>
      <c r="E68" s="182"/>
      <c r="F68" s="40">
        <f>ROUND(C68*D68,2)</f>
        <v>0</v>
      </c>
      <c r="G68" s="13">
        <f t="shared" si="3"/>
        <v>0</v>
      </c>
      <c r="H68" s="552"/>
      <c r="J68" s="2"/>
      <c r="K68" s="2"/>
    </row>
    <row r="69" spans="1:12" ht="21" hidden="1" customHeight="1" x14ac:dyDescent="0.3">
      <c r="A69" s="698" t="s">
        <v>51</v>
      </c>
      <c r="B69" s="698"/>
      <c r="C69" s="13">
        <f>'BP FORMAT JUILLET 2023'!C69</f>
        <v>0</v>
      </c>
      <c r="D69" s="169">
        <f>+D68</f>
        <v>6.8000000000000005E-2</v>
      </c>
      <c r="E69" s="182"/>
      <c r="F69" s="40">
        <f>ROUND(C69*D69,2)</f>
        <v>0</v>
      </c>
      <c r="G69" s="13">
        <f t="shared" si="3"/>
        <v>0</v>
      </c>
      <c r="H69" s="552"/>
      <c r="J69" s="2"/>
      <c r="K69" s="2"/>
    </row>
    <row r="70" spans="1:12" ht="21" hidden="1" customHeight="1" x14ac:dyDescent="0.3">
      <c r="A70" s="698" t="s">
        <v>52</v>
      </c>
      <c r="B70" s="698"/>
      <c r="C70" s="13">
        <f>C68+C69</f>
        <v>0</v>
      </c>
      <c r="D70" s="169">
        <f>+D67</f>
        <v>2.9000000000000001E-2</v>
      </c>
      <c r="E70" s="182"/>
      <c r="F70" s="40">
        <f>ROUND(C70*D70,2)</f>
        <v>0</v>
      </c>
      <c r="G70" s="13">
        <f t="shared" si="3"/>
        <v>0</v>
      </c>
      <c r="H70" s="552"/>
      <c r="J70" s="2"/>
      <c r="K70" s="2"/>
    </row>
    <row r="71" spans="1:12" ht="27" customHeight="1" x14ac:dyDescent="0.3">
      <c r="A71" s="722" t="s">
        <v>235</v>
      </c>
      <c r="B71" s="722"/>
      <c r="C71" s="13"/>
      <c r="D71" s="33"/>
      <c r="E71" s="14"/>
      <c r="F71" s="13"/>
      <c r="G71" s="40">
        <f>-'RED. GEN. de COT. Janv'!J16-'HEURES SUPPLEMENTAIRES '!A145</f>
        <v>0</v>
      </c>
      <c r="H71" s="552"/>
      <c r="J71" s="2"/>
      <c r="K71" s="2"/>
    </row>
    <row r="72" spans="1:12" ht="27" hidden="1" customHeight="1" x14ac:dyDescent="0.3">
      <c r="A72" s="707" t="s">
        <v>53</v>
      </c>
      <c r="B72" s="707"/>
      <c r="C72" s="50">
        <f>'HEURES SUPPLEMENTAIRES '!F141</f>
        <v>0</v>
      </c>
      <c r="D72" s="33"/>
      <c r="E72" s="168">
        <f>'HEURES SUPPLEMENTAIRES '!D57</f>
        <v>0.1104</v>
      </c>
      <c r="F72" s="19">
        <f>-ROUND(C72*E72,2)</f>
        <v>0</v>
      </c>
      <c r="G72" s="17"/>
      <c r="H72" s="552"/>
      <c r="I72" s="2"/>
      <c r="J72" s="2"/>
      <c r="K72" s="2"/>
    </row>
    <row r="73" spans="1:12" ht="18.600000000000001" customHeight="1" x14ac:dyDescent="0.3">
      <c r="A73" s="707" t="s">
        <v>54</v>
      </c>
      <c r="B73" s="707"/>
      <c r="C73" s="13"/>
      <c r="D73" s="13"/>
      <c r="E73" s="13"/>
      <c r="F73" s="13">
        <f>SUM(F36:F72)</f>
        <v>1293.9399999999998</v>
      </c>
      <c r="G73" s="13">
        <f>SUM(G36:G72)</f>
        <v>2871.8999999999996</v>
      </c>
      <c r="H73" s="554"/>
      <c r="I73" s="2"/>
    </row>
    <row r="74" spans="1:12" ht="19.8" hidden="1" customHeight="1" x14ac:dyDescent="0.3">
      <c r="A74" s="707" t="s">
        <v>396</v>
      </c>
      <c r="B74" s="707"/>
      <c r="C74" s="13"/>
      <c r="D74" s="13"/>
      <c r="E74" s="18"/>
      <c r="F74" s="13">
        <f>'Masque de Saisie'!E47*'Masque de Saisie'!E48</f>
        <v>0</v>
      </c>
      <c r="G74" s="222">
        <f>'Masque de Saisie'!E47*'Masque de Saisie'!E49</f>
        <v>0</v>
      </c>
      <c r="H74" s="552"/>
    </row>
    <row r="75" spans="1:12" ht="20.25" hidden="1" customHeight="1" x14ac:dyDescent="0.3">
      <c r="A75" s="723" t="s">
        <v>55</v>
      </c>
      <c r="B75" s="723"/>
      <c r="C75" s="41"/>
      <c r="D75" s="41"/>
      <c r="E75" s="26"/>
      <c r="F75" s="41">
        <f>'Masque de Saisie'!E50</f>
        <v>0</v>
      </c>
      <c r="G75" s="26"/>
      <c r="H75" s="555"/>
    </row>
    <row r="76" spans="1:12" ht="19.5" hidden="1" customHeight="1" x14ac:dyDescent="0.3">
      <c r="A76" s="723"/>
      <c r="B76" s="723"/>
      <c r="C76" s="41"/>
      <c r="D76" s="41"/>
      <c r="E76" s="26"/>
      <c r="F76" s="41"/>
      <c r="G76" s="26"/>
      <c r="I76" s="7"/>
      <c r="J76" s="8"/>
      <c r="K76" s="7"/>
    </row>
    <row r="77" spans="1:12" ht="19.5" customHeight="1" x14ac:dyDescent="0.3">
      <c r="A77" s="664" t="s">
        <v>841</v>
      </c>
      <c r="B77" s="665"/>
      <c r="C77" s="41"/>
      <c r="D77" s="41"/>
      <c r="E77" s="26"/>
      <c r="F77" s="41">
        <f>-J15</f>
        <v>0</v>
      </c>
      <c r="G77" s="26"/>
      <c r="I77" s="7"/>
      <c r="J77" s="8"/>
      <c r="K77" s="7"/>
    </row>
    <row r="78" spans="1:12" ht="18" customHeight="1" x14ac:dyDescent="0.3">
      <c r="A78" s="724" t="s">
        <v>64</v>
      </c>
      <c r="B78" s="724"/>
      <c r="C78" s="724"/>
      <c r="D78" s="724"/>
      <c r="E78" s="724"/>
      <c r="F78" s="724"/>
      <c r="G78" s="724"/>
      <c r="H78" s="724"/>
      <c r="I78" s="724"/>
      <c r="J78" s="725">
        <f>J33-F73+F75-F76-F74+F77</f>
        <v>4706.0600000000004</v>
      </c>
      <c r="K78" s="726"/>
      <c r="L78" s="726"/>
    </row>
    <row r="79" spans="1:12" ht="4.8" hidden="1" customHeight="1" x14ac:dyDescent="0.3">
      <c r="A79" s="727" t="s">
        <v>56</v>
      </c>
      <c r="B79" s="727"/>
      <c r="C79" s="727"/>
      <c r="D79" s="727"/>
      <c r="E79" s="727"/>
      <c r="F79" s="727"/>
      <c r="G79" s="727"/>
      <c r="H79" s="727"/>
      <c r="I79" s="727"/>
      <c r="J79" s="728">
        <f>F127</f>
        <v>86.968039999999988</v>
      </c>
      <c r="K79" s="729"/>
      <c r="L79" s="729"/>
    </row>
    <row r="80" spans="1:12" ht="0.6" hidden="1" customHeight="1" x14ac:dyDescent="0.3">
      <c r="A80" s="727"/>
      <c r="B80" s="727"/>
      <c r="C80" s="727"/>
      <c r="D80" s="727"/>
      <c r="E80" s="727"/>
      <c r="F80" s="727"/>
      <c r="G80" s="727"/>
      <c r="H80" s="727"/>
      <c r="I80" s="727"/>
      <c r="J80" s="729"/>
      <c r="K80" s="729"/>
      <c r="L80" s="729"/>
    </row>
    <row r="81" spans="1:14" ht="4.8" hidden="1" customHeight="1" x14ac:dyDescent="0.3">
      <c r="A81" s="727"/>
      <c r="B81" s="727"/>
      <c r="C81" s="727"/>
      <c r="D81" s="727"/>
      <c r="E81" s="727"/>
      <c r="F81" s="727"/>
      <c r="G81" s="727"/>
      <c r="H81" s="727"/>
      <c r="I81" s="727"/>
      <c r="J81" s="729"/>
      <c r="K81" s="729"/>
      <c r="L81" s="729"/>
    </row>
    <row r="82" spans="1:14" ht="20.25" customHeight="1" x14ac:dyDescent="0.3">
      <c r="A82" s="730" t="s">
        <v>65</v>
      </c>
      <c r="B82" s="731"/>
      <c r="C82" s="732"/>
      <c r="D82" s="736" t="s">
        <v>59</v>
      </c>
      <c r="E82" s="736"/>
      <c r="F82" s="736" t="s">
        <v>66</v>
      </c>
      <c r="G82" s="736"/>
      <c r="H82" s="53" t="s">
        <v>60</v>
      </c>
      <c r="I82" s="23"/>
      <c r="J82" s="23"/>
      <c r="K82" s="23"/>
      <c r="L82" s="23"/>
    </row>
    <row r="83" spans="1:14" x14ac:dyDescent="0.3">
      <c r="A83" s="733"/>
      <c r="B83" s="734"/>
      <c r="C83" s="735"/>
      <c r="D83" s="737">
        <f>J87</f>
        <v>4928.1100000000006</v>
      </c>
      <c r="E83" s="738"/>
      <c r="F83" s="739">
        <f>'TAUX NEUTRE '!H12</f>
        <v>0.158</v>
      </c>
      <c r="G83" s="729"/>
      <c r="H83" s="54">
        <f>ROUND(D83*F83,2)</f>
        <v>778.64</v>
      </c>
      <c r="I83" s="23"/>
      <c r="J83" s="23"/>
      <c r="K83" s="23"/>
      <c r="L83" s="23"/>
    </row>
    <row r="84" spans="1:14" x14ac:dyDescent="0.3">
      <c r="A84" s="743" t="s">
        <v>57</v>
      </c>
      <c r="B84" s="743"/>
      <c r="C84" s="743"/>
      <c r="D84" s="743"/>
      <c r="E84" s="743"/>
      <c r="F84" s="743"/>
      <c r="G84" s="743"/>
      <c r="H84" s="743"/>
      <c r="I84" s="743"/>
      <c r="J84" s="746">
        <f>G73+J33</f>
        <v>8871.9</v>
      </c>
      <c r="K84" s="747"/>
      <c r="L84" s="747"/>
    </row>
    <row r="85" spans="1:14" x14ac:dyDescent="0.3">
      <c r="A85" s="743" t="s">
        <v>67</v>
      </c>
      <c r="B85" s="743"/>
      <c r="C85" s="743"/>
      <c r="D85" s="743"/>
      <c r="E85" s="743"/>
      <c r="F85" s="743"/>
      <c r="G85" s="743"/>
      <c r="H85" s="743"/>
      <c r="I85" s="743"/>
      <c r="J85" s="748">
        <f>-G71+IF(C59=0,J33*1.8%,0) +IF(C37=0,J33*6%,0)</f>
        <v>0</v>
      </c>
      <c r="K85" s="749"/>
      <c r="L85" s="749"/>
    </row>
    <row r="86" spans="1:14" x14ac:dyDescent="0.3">
      <c r="A86" s="743" t="s">
        <v>236</v>
      </c>
      <c r="B86" s="743"/>
      <c r="C86" s="743"/>
      <c r="D86" s="743"/>
      <c r="E86" s="743"/>
      <c r="F86" s="743"/>
      <c r="G86" s="743"/>
      <c r="H86" s="743"/>
      <c r="I86" s="743"/>
      <c r="J86" s="746">
        <f>J78-H83</f>
        <v>3927.4200000000005</v>
      </c>
      <c r="K86" s="747"/>
      <c r="L86" s="747"/>
    </row>
    <row r="87" spans="1:14" x14ac:dyDescent="0.3">
      <c r="A87" s="743" t="s">
        <v>61</v>
      </c>
      <c r="B87" s="743"/>
      <c r="C87" s="743"/>
      <c r="D87" s="743"/>
      <c r="E87" s="743"/>
      <c r="F87" s="743"/>
      <c r="G87" s="743"/>
      <c r="H87" s="743"/>
      <c r="I87" s="743"/>
      <c r="J87" s="744">
        <f>'HEURES SUPPLEMENTAIRES '!E100</f>
        <v>4928.1100000000006</v>
      </c>
      <c r="K87" s="745"/>
      <c r="L87" s="745"/>
      <c r="N87" s="2"/>
    </row>
    <row r="88" spans="1:14" x14ac:dyDescent="0.3">
      <c r="A88" s="62"/>
      <c r="B88" s="363" t="s">
        <v>63</v>
      </c>
      <c r="C88" s="363" t="s">
        <v>289</v>
      </c>
      <c r="D88" s="750" t="s">
        <v>291</v>
      </c>
      <c r="E88" s="751"/>
      <c r="F88" s="752" t="s">
        <v>292</v>
      </c>
      <c r="G88" s="752"/>
      <c r="H88" s="383"/>
      <c r="I88" s="383"/>
      <c r="J88" s="179"/>
      <c r="K88" s="366"/>
      <c r="L88" s="366"/>
    </row>
    <row r="89" spans="1:14" ht="21" customHeight="1" x14ac:dyDescent="0.3">
      <c r="A89" s="384" t="s">
        <v>290</v>
      </c>
      <c r="B89" s="66">
        <f>H83</f>
        <v>778.64</v>
      </c>
      <c r="C89" s="66"/>
      <c r="D89" s="369" t="s">
        <v>107</v>
      </c>
      <c r="E89" s="66"/>
      <c r="F89" s="369" t="s">
        <v>315</v>
      </c>
      <c r="G89" s="66"/>
      <c r="H89" s="382"/>
      <c r="I89" s="383"/>
      <c r="J89" s="179"/>
      <c r="K89" s="366"/>
      <c r="L89" s="366"/>
    </row>
    <row r="90" spans="1:14" ht="21" customHeight="1" x14ac:dyDescent="0.3">
      <c r="A90" s="385" t="s">
        <v>294</v>
      </c>
      <c r="B90" s="370">
        <f>C72</f>
        <v>0</v>
      </c>
      <c r="C90" s="66"/>
      <c r="D90" s="369" t="s">
        <v>100</v>
      </c>
      <c r="E90" s="66"/>
      <c r="F90" s="369" t="s">
        <v>247</v>
      </c>
      <c r="G90" s="66"/>
      <c r="H90" s="383"/>
      <c r="I90" s="383"/>
      <c r="J90" s="179"/>
      <c r="K90" s="366"/>
      <c r="L90" s="366"/>
    </row>
    <row r="91" spans="1:14" ht="17.25" customHeight="1" x14ac:dyDescent="0.3">
      <c r="A91" s="386" t="s">
        <v>185</v>
      </c>
      <c r="B91" s="370">
        <f>J33</f>
        <v>6000</v>
      </c>
      <c r="C91" s="66"/>
      <c r="D91" s="369" t="s">
        <v>246</v>
      </c>
      <c r="E91" s="66"/>
      <c r="F91" s="369" t="s">
        <v>246</v>
      </c>
      <c r="G91" s="66"/>
      <c r="H91" s="383"/>
      <c r="I91" s="383"/>
      <c r="J91" s="179"/>
      <c r="K91" s="366"/>
      <c r="L91" s="366"/>
    </row>
    <row r="92" spans="1:14" ht="17.25" customHeight="1" x14ac:dyDescent="0.3">
      <c r="A92" s="386" t="s">
        <v>61</v>
      </c>
      <c r="B92" s="370">
        <f>J87</f>
        <v>4928.1100000000006</v>
      </c>
      <c r="C92" s="66"/>
      <c r="D92" s="365"/>
      <c r="E92" s="365"/>
      <c r="F92" s="365"/>
      <c r="G92" s="365"/>
      <c r="H92" s="383"/>
      <c r="I92" s="383"/>
      <c r="J92" s="179"/>
      <c r="K92" s="366"/>
      <c r="L92" s="366"/>
    </row>
    <row r="93" spans="1:14" ht="15" customHeight="1" x14ac:dyDescent="0.3">
      <c r="A93" s="742" t="s">
        <v>58</v>
      </c>
      <c r="B93" s="742"/>
      <c r="C93" s="742"/>
      <c r="D93" s="742"/>
      <c r="E93" s="742"/>
      <c r="F93" s="23"/>
      <c r="G93" s="23"/>
      <c r="H93" s="23"/>
      <c r="I93" s="23"/>
      <c r="J93" s="23"/>
      <c r="K93" s="23"/>
      <c r="L93" s="23"/>
    </row>
    <row r="94" spans="1:14" s="23" customFormat="1" ht="12" customHeight="1" x14ac:dyDescent="0.2">
      <c r="A94" s="43" t="s">
        <v>62</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90</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31</v>
      </c>
      <c r="D108" s="49" t="s">
        <v>92</v>
      </c>
      <c r="E108" s="49" t="s">
        <v>101</v>
      </c>
      <c r="H108" s="25"/>
      <c r="I108" s="25"/>
      <c r="J108" s="25"/>
      <c r="K108" s="25"/>
      <c r="L108" s="25"/>
      <c r="M108" s="27"/>
      <c r="N108" s="27"/>
      <c r="O108" s="27"/>
      <c r="P108" s="27"/>
      <c r="Q108" s="27"/>
      <c r="R108" s="27"/>
    </row>
    <row r="109" spans="1:18" ht="15.6" x14ac:dyDescent="0.3">
      <c r="A109" s="740" t="s">
        <v>93</v>
      </c>
      <c r="B109" s="741"/>
      <c r="C109" s="44">
        <f>IF(B9&lt;50,IF(J33&gt;C33,C33,J33),0)</f>
        <v>3925</v>
      </c>
      <c r="D109" s="51">
        <f>'TABLE DES TAUX 2025 '!E26</f>
        <v>1E-3</v>
      </c>
      <c r="E109" s="44">
        <f>ROUND(C109*D109,2)</f>
        <v>3.93</v>
      </c>
      <c r="H109" s="25"/>
      <c r="I109" s="25"/>
      <c r="J109" s="25"/>
      <c r="K109" s="25"/>
      <c r="L109" s="25"/>
      <c r="M109" s="27"/>
      <c r="N109" s="27"/>
      <c r="O109" s="27"/>
      <c r="P109" s="27"/>
      <c r="Q109" s="27"/>
      <c r="R109" s="27"/>
    </row>
    <row r="110" spans="1:18" ht="15.6" x14ac:dyDescent="0.3">
      <c r="A110" s="740" t="s">
        <v>94</v>
      </c>
      <c r="B110" s="741"/>
      <c r="C110" s="44">
        <f>IF(B9&gt;=50,J33,0)</f>
        <v>0</v>
      </c>
      <c r="D110" s="51">
        <f>+'TABLE DES TAUX 2025 '!E27</f>
        <v>5.0000000000000001E-3</v>
      </c>
      <c r="E110" s="44">
        <f>ROUND(C110*D110,2)</f>
        <v>0</v>
      </c>
      <c r="H110" s="25"/>
      <c r="I110" s="25"/>
      <c r="J110" s="25"/>
      <c r="K110" s="25"/>
      <c r="L110" s="25"/>
      <c r="M110" s="27"/>
      <c r="N110" s="27"/>
      <c r="O110" s="27"/>
      <c r="P110" s="27"/>
      <c r="Q110" s="27"/>
      <c r="R110" s="27"/>
    </row>
    <row r="111" spans="1:18" ht="15.6" x14ac:dyDescent="0.3">
      <c r="A111" s="740" t="s">
        <v>283</v>
      </c>
      <c r="B111" s="741"/>
      <c r="C111" s="44">
        <f>IF(B9&gt;=11,J33,0)</f>
        <v>6000</v>
      </c>
      <c r="D111" s="51">
        <f>'Masque de Saisie'!H22</f>
        <v>3.2000000000000001E-2</v>
      </c>
      <c r="E111" s="44">
        <f t="shared" ref="E111:E119" si="4">ROUND(C111*D111,2)</f>
        <v>192</v>
      </c>
      <c r="H111" s="25"/>
      <c r="I111" s="25"/>
      <c r="J111" s="25"/>
      <c r="K111" s="25"/>
      <c r="L111" s="25"/>
      <c r="M111" s="27"/>
      <c r="N111" s="27"/>
      <c r="O111" s="27"/>
      <c r="P111" s="27"/>
      <c r="Q111" s="27"/>
      <c r="R111" s="27"/>
    </row>
    <row r="112" spans="1:18" ht="15.6" x14ac:dyDescent="0.3">
      <c r="A112" s="755" t="s">
        <v>72</v>
      </c>
      <c r="B112" s="756"/>
      <c r="C112" s="44">
        <f>J33</f>
        <v>6000</v>
      </c>
      <c r="D112" s="51">
        <f>'TABLE DES TAUX 2025 '!E29</f>
        <v>3.0000000000000001E-3</v>
      </c>
      <c r="E112" s="44">
        <f t="shared" si="4"/>
        <v>18</v>
      </c>
      <c r="H112" s="25"/>
      <c r="I112" s="25"/>
      <c r="J112" s="25"/>
      <c r="K112" s="25"/>
      <c r="L112" s="25"/>
      <c r="M112" s="27"/>
      <c r="N112" s="27"/>
      <c r="O112" s="27"/>
      <c r="P112" s="27"/>
      <c r="Q112" s="27"/>
      <c r="R112" s="27"/>
    </row>
    <row r="113" spans="1:18" ht="15.6" x14ac:dyDescent="0.3">
      <c r="A113" s="740" t="s">
        <v>91</v>
      </c>
      <c r="B113" s="741"/>
      <c r="C113" s="44">
        <f>IF(B9&gt;=11, IF(I9=2,G38+G41+G42,G39+G40),0)</f>
        <v>106.88</v>
      </c>
      <c r="D113" s="51">
        <f>'TABLE DES TAUX 2025 '!E30</f>
        <v>0.08</v>
      </c>
      <c r="E113" s="44">
        <f t="shared" si="4"/>
        <v>8.5500000000000007</v>
      </c>
      <c r="H113" s="27"/>
      <c r="I113" s="27"/>
      <c r="J113" s="27"/>
      <c r="K113" s="27"/>
      <c r="L113" s="27"/>
      <c r="M113" s="27"/>
      <c r="N113" s="27"/>
      <c r="O113" s="27"/>
      <c r="P113" s="27"/>
      <c r="Q113" s="27"/>
      <c r="R113" s="27"/>
    </row>
    <row r="114" spans="1:18" ht="15.6" x14ac:dyDescent="0.3">
      <c r="A114" s="756" t="s">
        <v>227</v>
      </c>
      <c r="B114" s="760"/>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755" t="s">
        <v>73</v>
      </c>
      <c r="B115" s="756"/>
      <c r="C115" s="44">
        <f>C111</f>
        <v>6000</v>
      </c>
      <c r="D115" s="51">
        <f>'TABLE DES TAUX 2025 '!E32</f>
        <v>1.6000000000000001E-4</v>
      </c>
      <c r="E115" s="44">
        <f t="shared" si="4"/>
        <v>0.96</v>
      </c>
      <c r="H115" s="27"/>
      <c r="I115" s="27"/>
      <c r="J115" s="27"/>
      <c r="K115" s="27"/>
      <c r="L115" s="27"/>
      <c r="M115" s="27"/>
      <c r="N115" s="27"/>
      <c r="O115" s="27"/>
      <c r="P115" s="27"/>
      <c r="Q115" s="27"/>
      <c r="R115" s="27"/>
    </row>
    <row r="116" spans="1:18" ht="15.6" x14ac:dyDescent="0.3">
      <c r="A116" s="755" t="s">
        <v>78</v>
      </c>
      <c r="B116" s="756"/>
      <c r="C116" s="44">
        <f>+C112</f>
        <v>6000</v>
      </c>
      <c r="D116" s="51">
        <f>'TABLE DES TAUX 2025 '!E33</f>
        <v>6.7999999999999996E-3</v>
      </c>
      <c r="E116" s="44">
        <f t="shared" si="4"/>
        <v>40.799999999999997</v>
      </c>
      <c r="H116" s="27"/>
      <c r="I116" s="27"/>
      <c r="J116" s="27"/>
      <c r="K116" s="27"/>
      <c r="L116" s="27"/>
      <c r="M116" s="27"/>
      <c r="N116" s="27"/>
      <c r="O116" s="27"/>
      <c r="P116" s="27"/>
      <c r="Q116" s="27"/>
      <c r="R116" s="27"/>
    </row>
    <row r="117" spans="1:18" ht="15.6" x14ac:dyDescent="0.3">
      <c r="A117" s="755" t="s">
        <v>79</v>
      </c>
      <c r="B117" s="756"/>
      <c r="C117" s="44">
        <f>IF(B9&lt;11,0,J33)</f>
        <v>6000</v>
      </c>
      <c r="D117" s="51">
        <f>'TABLE DES TAUX 2025 '!E34</f>
        <v>0.01</v>
      </c>
      <c r="E117" s="44">
        <f t="shared" si="4"/>
        <v>60</v>
      </c>
      <c r="H117" s="27"/>
      <c r="I117" s="27"/>
      <c r="J117" s="27"/>
      <c r="K117" s="27"/>
      <c r="L117" s="27"/>
      <c r="M117" s="27"/>
      <c r="N117" s="27"/>
      <c r="O117" s="27"/>
      <c r="P117" s="27"/>
      <c r="Q117" s="27"/>
      <c r="R117" s="27"/>
    </row>
    <row r="118" spans="1:18" ht="15.6" x14ac:dyDescent="0.3">
      <c r="A118" s="755" t="s">
        <v>79</v>
      </c>
      <c r="B118" s="756"/>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755" t="s">
        <v>84</v>
      </c>
      <c r="B119" s="756"/>
      <c r="C119" s="44">
        <f>IF(B9&lt;50,0,J33)</f>
        <v>0</v>
      </c>
      <c r="D119" s="51">
        <f>'TABLE DES TAUX 2025 '!E36</f>
        <v>4.4999999999999997E-3</v>
      </c>
      <c r="E119" s="44">
        <f t="shared" si="4"/>
        <v>0</v>
      </c>
      <c r="H119" s="27"/>
      <c r="I119" s="27"/>
      <c r="J119" s="27"/>
      <c r="K119" s="27"/>
      <c r="L119" s="27"/>
      <c r="M119" s="27"/>
      <c r="N119" s="27"/>
      <c r="O119" s="27"/>
      <c r="P119" s="27"/>
      <c r="Q119" s="27"/>
      <c r="R119" s="27"/>
    </row>
    <row r="120" spans="1:18" ht="15.6" x14ac:dyDescent="0.3">
      <c r="A120" s="27"/>
      <c r="B120" s="27"/>
      <c r="D120" s="27"/>
      <c r="E120" s="67">
        <f>SUM(E109:E119)</f>
        <v>324.24</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757" t="s">
        <v>96</v>
      </c>
      <c r="B124" s="757"/>
      <c r="C124" s="46">
        <v>7.4999999999999997E-3</v>
      </c>
      <c r="D124" s="47">
        <f>C36*C124</f>
        <v>45</v>
      </c>
      <c r="E124" s="24"/>
      <c r="F124" s="24"/>
      <c r="G124" s="24"/>
      <c r="H124" s="27"/>
      <c r="I124" s="27"/>
      <c r="J124" s="27"/>
      <c r="K124" s="27"/>
      <c r="L124" s="27"/>
      <c r="M124" s="27"/>
      <c r="N124" s="27"/>
      <c r="O124" s="27"/>
      <c r="P124" s="27"/>
      <c r="Q124" s="27"/>
      <c r="R124" s="27"/>
    </row>
    <row r="125" spans="1:18" ht="35.25" customHeight="1" x14ac:dyDescent="0.3">
      <c r="A125" s="753" t="s">
        <v>97</v>
      </c>
      <c r="B125" s="753"/>
      <c r="C125" s="46">
        <v>2.4E-2</v>
      </c>
      <c r="D125" s="47">
        <f>C61*C125</f>
        <v>144</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758" t="s">
        <v>118</v>
      </c>
      <c r="B127" s="758"/>
      <c r="C127" s="758"/>
      <c r="D127" s="759"/>
      <c r="E127" s="68" t="s">
        <v>99</v>
      </c>
      <c r="F127" s="69">
        <f>D124+D125-D129</f>
        <v>86.968039999999988</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753" t="s">
        <v>98</v>
      </c>
      <c r="B129" s="753"/>
      <c r="C129" s="46">
        <v>1.7000000000000001E-2</v>
      </c>
      <c r="D129" s="47">
        <f>(C66+C70)*C129</f>
        <v>102.03196000000001</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54"/>
      <c r="B144" s="754"/>
      <c r="C144" s="754"/>
      <c r="D144" s="754"/>
      <c r="E144" s="754"/>
      <c r="F144" s="754"/>
      <c r="G144" s="754"/>
      <c r="H144" s="754"/>
      <c r="I144" s="754"/>
      <c r="J144" s="754"/>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14:F14"/>
    <mergeCell ref="A13:F13"/>
    <mergeCell ref="A36:B36"/>
    <mergeCell ref="O36:P36"/>
    <mergeCell ref="A37:B37"/>
    <mergeCell ref="O37:P37"/>
    <mergeCell ref="A38:B38"/>
    <mergeCell ref="O38:P38"/>
    <mergeCell ref="A30:F30"/>
    <mergeCell ref="A31:F31"/>
    <mergeCell ref="A33:B33"/>
    <mergeCell ref="D33:I33"/>
    <mergeCell ref="A34:B34"/>
    <mergeCell ref="A35:B35"/>
    <mergeCell ref="A32:F3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5:F15"/>
    <mergeCell ref="A16:F16"/>
    <mergeCell ref="A17:F17"/>
    <mergeCell ref="B8:D8"/>
    <mergeCell ref="C9:D9"/>
    <mergeCell ref="F9:G9"/>
    <mergeCell ref="F10:G10"/>
    <mergeCell ref="B11:D11"/>
    <mergeCell ref="A12:J12"/>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DDBF1-CDD4-47DA-97A5-B892147BD055}">
  <dimension ref="A3:P55"/>
  <sheetViews>
    <sheetView topLeftCell="B14" zoomScale="130" zoomScaleNormal="130" workbookViewId="0">
      <selection activeCell="D15" sqref="D15"/>
    </sheetView>
  </sheetViews>
  <sheetFormatPr baseColWidth="10" defaultRowHeight="15.6" x14ac:dyDescent="0.3"/>
  <cols>
    <col min="1" max="16384" width="11.5546875" style="968"/>
  </cols>
  <sheetData>
    <row r="3" spans="2:2" x14ac:dyDescent="0.3">
      <c r="B3" s="969" t="s">
        <v>852</v>
      </c>
    </row>
    <row r="4" spans="2:2" x14ac:dyDescent="0.3">
      <c r="B4" s="969" t="s">
        <v>842</v>
      </c>
    </row>
    <row r="5" spans="2:2" x14ac:dyDescent="0.3">
      <c r="B5" s="969" t="s">
        <v>843</v>
      </c>
    </row>
    <row r="6" spans="2:2" x14ac:dyDescent="0.3">
      <c r="B6" s="969" t="s">
        <v>844</v>
      </c>
    </row>
    <row r="7" spans="2:2" x14ac:dyDescent="0.3">
      <c r="B7" s="969" t="s">
        <v>845</v>
      </c>
    </row>
    <row r="9" spans="2:2" x14ac:dyDescent="0.3">
      <c r="B9" s="969" t="s">
        <v>853</v>
      </c>
    </row>
    <row r="10" spans="2:2" x14ac:dyDescent="0.3">
      <c r="B10" s="969" t="s">
        <v>846</v>
      </c>
    </row>
    <row r="13" spans="2:2" x14ac:dyDescent="0.3">
      <c r="B13" s="970" t="s">
        <v>840</v>
      </c>
    </row>
    <row r="15" spans="2:2" x14ac:dyDescent="0.3">
      <c r="B15" s="969" t="s">
        <v>847</v>
      </c>
    </row>
    <row r="16" spans="2:2" x14ac:dyDescent="0.3">
      <c r="B16" s="969" t="s">
        <v>848</v>
      </c>
    </row>
    <row r="17" spans="2:16" x14ac:dyDescent="0.3">
      <c r="B17" s="969" t="s">
        <v>883</v>
      </c>
    </row>
    <row r="18" spans="2:16" x14ac:dyDescent="0.3">
      <c r="B18" s="969" t="s">
        <v>849</v>
      </c>
    </row>
    <row r="19" spans="2:16" x14ac:dyDescent="0.3">
      <c r="B19" s="969" t="s">
        <v>850</v>
      </c>
    </row>
    <row r="20" spans="2:16" x14ac:dyDescent="0.3">
      <c r="B20" s="969" t="s">
        <v>851</v>
      </c>
    </row>
    <row r="22" spans="2:16" s="967" customFormat="1" ht="33" customHeight="1" x14ac:dyDescent="0.3">
      <c r="B22" s="971" t="s">
        <v>858</v>
      </c>
      <c r="C22" s="971"/>
      <c r="D22" s="971"/>
      <c r="E22" s="971"/>
      <c r="F22" s="971"/>
      <c r="G22" s="971"/>
      <c r="H22" s="971"/>
      <c r="I22" s="971"/>
      <c r="J22" s="971"/>
      <c r="K22" s="971"/>
      <c r="L22" s="971"/>
      <c r="M22" s="971"/>
      <c r="N22" s="971"/>
      <c r="O22" s="971"/>
      <c r="P22" s="971"/>
    </row>
    <row r="23" spans="2:16" s="967" customFormat="1" ht="14.4" x14ac:dyDescent="0.3"/>
    <row r="24" spans="2:16" s="967" customFormat="1" ht="14.4" customHeight="1" x14ac:dyDescent="0.3">
      <c r="B24" s="966" t="s">
        <v>859</v>
      </c>
      <c r="C24" s="966"/>
      <c r="D24" s="966"/>
      <c r="E24" s="966"/>
      <c r="F24" s="966"/>
      <c r="G24" s="966"/>
      <c r="H24" s="966"/>
      <c r="I24" s="966"/>
      <c r="J24" s="966"/>
      <c r="K24" s="966"/>
      <c r="L24" s="966"/>
      <c r="M24" s="966"/>
      <c r="N24" s="966"/>
      <c r="O24" s="966"/>
      <c r="P24" s="966"/>
    </row>
    <row r="25" spans="2:16" s="967" customFormat="1" ht="14.4" x14ac:dyDescent="0.3">
      <c r="B25" s="966"/>
      <c r="C25" s="966"/>
      <c r="D25" s="966"/>
      <c r="E25" s="966"/>
      <c r="F25" s="966"/>
      <c r="G25" s="966"/>
      <c r="H25" s="966"/>
      <c r="I25" s="966"/>
      <c r="J25" s="966"/>
      <c r="K25" s="966"/>
      <c r="L25" s="966"/>
      <c r="M25" s="966"/>
      <c r="N25" s="966"/>
      <c r="O25" s="966"/>
      <c r="P25" s="966"/>
    </row>
    <row r="26" spans="2:16" s="967" customFormat="1" ht="14.4" x14ac:dyDescent="0.3">
      <c r="B26" s="972"/>
      <c r="C26" s="972"/>
      <c r="D26" s="972"/>
      <c r="E26" s="972"/>
      <c r="F26" s="972"/>
      <c r="G26" s="972"/>
      <c r="H26" s="972"/>
      <c r="I26" s="972"/>
      <c r="J26" s="972"/>
      <c r="K26" s="972"/>
      <c r="L26" s="972"/>
      <c r="M26" s="972"/>
      <c r="N26" s="972"/>
      <c r="O26" s="972"/>
      <c r="P26" s="972"/>
    </row>
    <row r="27" spans="2:16" s="967" customFormat="1" ht="28.2" customHeight="1" x14ac:dyDescent="0.3">
      <c r="B27" s="971" t="s">
        <v>854</v>
      </c>
      <c r="C27" s="971"/>
      <c r="D27" s="971"/>
      <c r="E27" s="971"/>
      <c r="F27" s="971"/>
      <c r="G27" s="971"/>
      <c r="H27" s="971"/>
      <c r="I27" s="971"/>
      <c r="J27" s="971"/>
      <c r="K27" s="971"/>
      <c r="L27" s="971"/>
      <c r="M27" s="971"/>
      <c r="N27" s="971"/>
      <c r="O27" s="971"/>
      <c r="P27" s="971"/>
    </row>
    <row r="28" spans="2:16" s="967" customFormat="1" ht="14.4" x14ac:dyDescent="0.3"/>
    <row r="29" spans="2:16" s="967" customFormat="1" ht="29.4" customHeight="1" x14ac:dyDescent="0.3">
      <c r="B29" s="971" t="s">
        <v>855</v>
      </c>
      <c r="C29" s="971"/>
      <c r="D29" s="971"/>
      <c r="E29" s="971"/>
      <c r="F29" s="971"/>
      <c r="G29" s="971"/>
      <c r="H29" s="971"/>
      <c r="I29" s="971"/>
      <c r="J29" s="971"/>
      <c r="K29" s="971"/>
      <c r="L29" s="971"/>
      <c r="M29" s="971"/>
      <c r="N29" s="971"/>
      <c r="O29" s="971"/>
      <c r="P29" s="971"/>
    </row>
    <row r="30" spans="2:16" s="967" customFormat="1" ht="14.4" x14ac:dyDescent="0.3"/>
    <row r="31" spans="2:16" s="967" customFormat="1" ht="27.6" customHeight="1" x14ac:dyDescent="0.3">
      <c r="B31" s="971" t="s">
        <v>856</v>
      </c>
      <c r="C31" s="971"/>
      <c r="D31" s="971"/>
      <c r="E31" s="971"/>
      <c r="F31" s="971"/>
      <c r="G31" s="971"/>
      <c r="H31" s="971"/>
      <c r="I31" s="971"/>
      <c r="J31" s="971"/>
      <c r="K31" s="971"/>
      <c r="L31" s="971"/>
      <c r="M31" s="971"/>
      <c r="N31" s="971"/>
      <c r="O31" s="971"/>
      <c r="P31" s="971"/>
    </row>
    <row r="32" spans="2:16" s="967" customFormat="1" ht="14.4" x14ac:dyDescent="0.3"/>
    <row r="33" spans="1:16" s="967" customFormat="1" ht="32.4" customHeight="1" x14ac:dyDescent="0.3">
      <c r="B33" s="971" t="s">
        <v>857</v>
      </c>
      <c r="C33" s="971"/>
      <c r="D33" s="971"/>
      <c r="E33" s="971"/>
      <c r="F33" s="971"/>
      <c r="G33" s="971"/>
      <c r="H33" s="971"/>
      <c r="I33" s="971"/>
      <c r="J33" s="971"/>
      <c r="K33" s="971"/>
      <c r="L33" s="971"/>
      <c r="M33" s="971"/>
      <c r="N33" s="971"/>
      <c r="O33" s="971"/>
      <c r="P33" s="971"/>
    </row>
    <row r="34" spans="1:16" s="967" customFormat="1" ht="14.4" x14ac:dyDescent="0.3"/>
    <row r="35" spans="1:16" x14ac:dyDescent="0.3">
      <c r="A35" s="973"/>
      <c r="B35" s="981" t="s">
        <v>860</v>
      </c>
      <c r="C35" s="980"/>
      <c r="D35" s="980"/>
      <c r="E35" s="980"/>
      <c r="F35" s="980"/>
      <c r="G35" s="980"/>
      <c r="H35" s="980"/>
      <c r="I35" s="980"/>
      <c r="J35" s="980"/>
      <c r="K35" s="980"/>
      <c r="L35" s="980"/>
      <c r="M35" s="980"/>
      <c r="N35" s="980"/>
      <c r="O35" s="980"/>
      <c r="P35" s="980"/>
    </row>
    <row r="36" spans="1:16" x14ac:dyDescent="0.3">
      <c r="A36" s="973"/>
      <c r="B36" s="973"/>
      <c r="C36" s="973"/>
      <c r="D36" s="973"/>
      <c r="E36" s="973"/>
      <c r="F36" s="973"/>
      <c r="G36" s="973"/>
      <c r="H36" s="973"/>
      <c r="I36" s="973"/>
      <c r="J36" s="973"/>
      <c r="K36" s="973"/>
      <c r="L36" s="973"/>
      <c r="M36" s="973"/>
      <c r="N36" s="973"/>
      <c r="O36" s="973"/>
      <c r="P36" s="973"/>
    </row>
    <row r="37" spans="1:16" x14ac:dyDescent="0.3">
      <c r="A37" s="973"/>
      <c r="B37" s="966" t="s">
        <v>862</v>
      </c>
      <c r="C37" s="966"/>
      <c r="D37" s="966"/>
      <c r="E37" s="966"/>
      <c r="F37" s="966"/>
      <c r="G37" s="966"/>
      <c r="H37" s="966"/>
      <c r="I37" s="966"/>
      <c r="J37" s="966"/>
      <c r="K37" s="966"/>
      <c r="L37" s="966"/>
      <c r="M37" s="966"/>
      <c r="N37" s="966"/>
      <c r="O37" s="966"/>
      <c r="P37" s="966"/>
    </row>
    <row r="38" spans="1:16" x14ac:dyDescent="0.3">
      <c r="A38" s="973"/>
      <c r="B38" s="966"/>
      <c r="C38" s="966"/>
      <c r="D38" s="966"/>
      <c r="E38" s="966"/>
      <c r="F38" s="966"/>
      <c r="G38" s="966"/>
      <c r="H38" s="966"/>
      <c r="I38" s="966"/>
      <c r="J38" s="966"/>
      <c r="K38" s="966"/>
      <c r="L38" s="966"/>
      <c r="M38" s="966"/>
      <c r="N38" s="966"/>
      <c r="O38" s="966"/>
      <c r="P38" s="966"/>
    </row>
    <row r="39" spans="1:16" x14ac:dyDescent="0.3">
      <c r="A39" s="973"/>
      <c r="B39" s="973"/>
      <c r="C39" s="973"/>
      <c r="D39" s="973"/>
      <c r="E39" s="973"/>
      <c r="F39" s="973"/>
      <c r="G39" s="973"/>
      <c r="H39" s="973"/>
      <c r="I39" s="973"/>
      <c r="J39" s="973"/>
      <c r="K39" s="973"/>
      <c r="L39" s="973"/>
      <c r="M39" s="973"/>
      <c r="N39" s="973"/>
      <c r="O39" s="973"/>
      <c r="P39" s="973"/>
    </row>
    <row r="40" spans="1:16" x14ac:dyDescent="0.3">
      <c r="A40" s="973"/>
      <c r="B40" s="966" t="s">
        <v>863</v>
      </c>
      <c r="C40" s="966"/>
      <c r="D40" s="966"/>
      <c r="E40" s="966"/>
      <c r="F40" s="966"/>
      <c r="G40" s="966"/>
      <c r="H40" s="966"/>
      <c r="I40" s="966"/>
      <c r="J40" s="966"/>
      <c r="K40" s="966"/>
      <c r="L40" s="966"/>
      <c r="M40" s="966"/>
      <c r="N40" s="966"/>
      <c r="O40" s="966"/>
      <c r="P40" s="966"/>
    </row>
    <row r="41" spans="1:16" x14ac:dyDescent="0.3">
      <c r="A41" s="973"/>
      <c r="B41" s="966"/>
      <c r="C41" s="966"/>
      <c r="D41" s="966"/>
      <c r="E41" s="966"/>
      <c r="F41" s="966"/>
      <c r="G41" s="966"/>
      <c r="H41" s="966"/>
      <c r="I41" s="966"/>
      <c r="J41" s="966"/>
      <c r="K41" s="966"/>
      <c r="L41" s="966"/>
      <c r="M41" s="966"/>
      <c r="N41" s="966"/>
      <c r="O41" s="966"/>
      <c r="P41" s="966"/>
    </row>
    <row r="42" spans="1:16" x14ac:dyDescent="0.3">
      <c r="A42" s="973"/>
      <c r="B42" s="973"/>
      <c r="C42" s="973"/>
      <c r="D42" s="973"/>
      <c r="E42" s="973"/>
      <c r="F42" s="973"/>
      <c r="G42" s="973"/>
      <c r="H42" s="973"/>
      <c r="I42" s="973"/>
      <c r="J42" s="973"/>
      <c r="K42" s="973"/>
      <c r="L42" s="973"/>
      <c r="M42" s="973"/>
      <c r="N42" s="973"/>
      <c r="O42" s="973"/>
      <c r="P42" s="973"/>
    </row>
    <row r="43" spans="1:16" x14ac:dyDescent="0.3">
      <c r="A43" s="973"/>
      <c r="B43" s="966" t="s">
        <v>867</v>
      </c>
      <c r="C43" s="966"/>
      <c r="D43" s="966"/>
      <c r="E43" s="966"/>
      <c r="F43" s="966"/>
      <c r="G43" s="966"/>
      <c r="H43" s="966"/>
      <c r="I43" s="966"/>
      <c r="J43" s="966"/>
      <c r="K43" s="966"/>
      <c r="L43" s="966"/>
      <c r="M43" s="966"/>
      <c r="N43" s="966"/>
      <c r="O43" s="966"/>
      <c r="P43" s="966"/>
    </row>
    <row r="44" spans="1:16" x14ac:dyDescent="0.3">
      <c r="A44" s="973"/>
      <c r="B44" s="966"/>
      <c r="C44" s="966"/>
      <c r="D44" s="966"/>
      <c r="E44" s="966"/>
      <c r="F44" s="966"/>
      <c r="G44" s="966"/>
      <c r="H44" s="966"/>
      <c r="I44" s="966"/>
      <c r="J44" s="966"/>
      <c r="K44" s="966"/>
      <c r="L44" s="966"/>
      <c r="M44" s="966"/>
      <c r="N44" s="966"/>
      <c r="O44" s="966"/>
      <c r="P44" s="966"/>
    </row>
    <row r="45" spans="1:16" x14ac:dyDescent="0.3">
      <c r="A45" s="973"/>
      <c r="B45" s="973"/>
      <c r="C45" s="973"/>
      <c r="D45" s="973"/>
      <c r="E45" s="973"/>
      <c r="F45" s="973"/>
      <c r="G45" s="973"/>
      <c r="H45" s="973"/>
      <c r="I45" s="973"/>
      <c r="J45" s="973"/>
      <c r="K45" s="973"/>
      <c r="L45" s="973"/>
      <c r="M45" s="973"/>
      <c r="N45" s="973"/>
      <c r="O45" s="973"/>
      <c r="P45" s="973"/>
    </row>
    <row r="46" spans="1:16" x14ac:dyDescent="0.3">
      <c r="A46" s="973"/>
      <c r="B46" s="966" t="s">
        <v>866</v>
      </c>
      <c r="C46" s="966"/>
      <c r="D46" s="966"/>
      <c r="E46" s="966"/>
      <c r="F46" s="966"/>
      <c r="G46" s="966"/>
      <c r="H46" s="966"/>
      <c r="I46" s="966"/>
      <c r="J46" s="966"/>
      <c r="K46" s="966"/>
      <c r="L46" s="966"/>
      <c r="M46" s="966"/>
      <c r="N46" s="966"/>
      <c r="O46" s="966"/>
      <c r="P46" s="966"/>
    </row>
    <row r="47" spans="1:16" x14ac:dyDescent="0.3">
      <c r="A47" s="973"/>
      <c r="B47" s="966"/>
      <c r="C47" s="966"/>
      <c r="D47" s="966"/>
      <c r="E47" s="966"/>
      <c r="F47" s="966"/>
      <c r="G47" s="966"/>
      <c r="H47" s="966"/>
      <c r="I47" s="966"/>
      <c r="J47" s="966"/>
      <c r="K47" s="966"/>
      <c r="L47" s="966"/>
      <c r="M47" s="966"/>
      <c r="N47" s="966"/>
      <c r="O47" s="966"/>
      <c r="P47" s="966"/>
    </row>
    <row r="48" spans="1:16" x14ac:dyDescent="0.3">
      <c r="A48" s="973"/>
      <c r="B48" s="973"/>
      <c r="C48" s="973"/>
      <c r="D48" s="973"/>
      <c r="E48" s="973"/>
      <c r="F48" s="973"/>
      <c r="G48" s="973"/>
      <c r="H48" s="973"/>
      <c r="I48" s="973"/>
      <c r="J48" s="973"/>
      <c r="K48" s="973"/>
      <c r="L48" s="973"/>
      <c r="M48" s="973"/>
      <c r="N48" s="973"/>
      <c r="O48" s="973"/>
      <c r="P48" s="973"/>
    </row>
    <row r="49" spans="1:16" x14ac:dyDescent="0.3">
      <c r="A49" s="973"/>
      <c r="B49" s="966" t="s">
        <v>864</v>
      </c>
      <c r="C49" s="966"/>
      <c r="D49" s="966"/>
      <c r="E49" s="966"/>
      <c r="F49" s="966"/>
      <c r="G49" s="966"/>
      <c r="H49" s="966"/>
      <c r="I49" s="966"/>
      <c r="J49" s="966"/>
      <c r="K49" s="966"/>
      <c r="L49" s="966"/>
      <c r="M49" s="966"/>
      <c r="N49" s="966"/>
      <c r="O49" s="966"/>
      <c r="P49" s="966"/>
    </row>
    <row r="50" spans="1:16" x14ac:dyDescent="0.3">
      <c r="A50" s="973"/>
      <c r="B50" s="966"/>
      <c r="C50" s="966"/>
      <c r="D50" s="966"/>
      <c r="E50" s="966"/>
      <c r="F50" s="966"/>
      <c r="G50" s="966"/>
      <c r="H50" s="966"/>
      <c r="I50" s="966"/>
      <c r="J50" s="966"/>
      <c r="K50" s="966"/>
      <c r="L50" s="966"/>
      <c r="M50" s="966"/>
      <c r="N50" s="966"/>
      <c r="O50" s="966"/>
      <c r="P50" s="966"/>
    </row>
    <row r="51" spans="1:16" x14ac:dyDescent="0.3">
      <c r="A51" s="973"/>
      <c r="B51" s="982"/>
      <c r="C51" s="982"/>
      <c r="D51" s="982"/>
      <c r="E51" s="982"/>
      <c r="F51" s="982"/>
      <c r="G51" s="982"/>
      <c r="H51" s="982"/>
      <c r="I51" s="982"/>
      <c r="J51" s="982"/>
      <c r="K51" s="982"/>
      <c r="L51" s="982"/>
      <c r="M51" s="982"/>
      <c r="N51" s="982"/>
      <c r="O51" s="982"/>
      <c r="P51" s="982"/>
    </row>
    <row r="52" spans="1:16" x14ac:dyDescent="0.3">
      <c r="A52" s="973"/>
      <c r="B52" s="966" t="s">
        <v>865</v>
      </c>
      <c r="C52" s="966"/>
      <c r="D52" s="966"/>
      <c r="E52" s="966"/>
      <c r="F52" s="966"/>
      <c r="G52" s="966"/>
      <c r="H52" s="966"/>
      <c r="I52" s="966"/>
      <c r="J52" s="966"/>
      <c r="K52" s="966"/>
      <c r="L52" s="966"/>
      <c r="M52" s="966"/>
      <c r="N52" s="966"/>
      <c r="O52" s="966"/>
      <c r="P52" s="966"/>
    </row>
    <row r="53" spans="1:16" x14ac:dyDescent="0.3">
      <c r="A53" s="973"/>
      <c r="B53" s="966"/>
      <c r="C53" s="966"/>
      <c r="D53" s="966"/>
      <c r="E53" s="966"/>
      <c r="F53" s="966"/>
      <c r="G53" s="966"/>
      <c r="H53" s="966"/>
      <c r="I53" s="966"/>
      <c r="J53" s="966"/>
      <c r="K53" s="966"/>
      <c r="L53" s="966"/>
      <c r="M53" s="966"/>
      <c r="N53" s="966"/>
      <c r="O53" s="966"/>
      <c r="P53" s="966"/>
    </row>
    <row r="54" spans="1:16" x14ac:dyDescent="0.3">
      <c r="A54" s="973"/>
      <c r="B54" s="966" t="s">
        <v>861</v>
      </c>
      <c r="C54" s="966"/>
      <c r="D54" s="966"/>
      <c r="E54" s="966"/>
      <c r="F54" s="966"/>
      <c r="G54" s="966"/>
      <c r="H54" s="966"/>
      <c r="I54" s="966"/>
      <c r="J54" s="966"/>
      <c r="K54" s="966"/>
      <c r="L54" s="966"/>
      <c r="M54" s="966"/>
      <c r="N54" s="966"/>
      <c r="O54" s="966"/>
      <c r="P54" s="966"/>
    </row>
    <row r="55" spans="1:16" x14ac:dyDescent="0.3">
      <c r="A55" s="973"/>
      <c r="B55" s="966"/>
      <c r="C55" s="966"/>
      <c r="D55" s="966"/>
      <c r="E55" s="966"/>
      <c r="F55" s="966"/>
      <c r="G55" s="966"/>
      <c r="H55" s="966"/>
      <c r="I55" s="966"/>
      <c r="J55" s="966"/>
      <c r="K55" s="966"/>
      <c r="L55" s="966"/>
      <c r="M55" s="966"/>
      <c r="N55" s="966"/>
      <c r="O55" s="966"/>
      <c r="P55" s="966"/>
    </row>
  </sheetData>
  <mergeCells count="13">
    <mergeCell ref="B52:P53"/>
    <mergeCell ref="B54:P55"/>
    <mergeCell ref="B37:P38"/>
    <mergeCell ref="B40:P41"/>
    <mergeCell ref="B43:P44"/>
    <mergeCell ref="B46:P47"/>
    <mergeCell ref="B49:P50"/>
    <mergeCell ref="B33:P33"/>
    <mergeCell ref="B22:P22"/>
    <mergeCell ref="B27:P27"/>
    <mergeCell ref="B29:P29"/>
    <mergeCell ref="B31:P31"/>
    <mergeCell ref="B24:P25"/>
  </mergeCells>
  <printOptions horizontalCentered="1" verticalCentered="1"/>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B35" zoomScale="110" zoomScaleNormal="110" workbookViewId="0">
      <selection activeCell="J46" sqref="J46"/>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496</v>
      </c>
    </row>
    <row r="2" spans="2:9" x14ac:dyDescent="0.3">
      <c r="B2" s="58"/>
    </row>
    <row r="3" spans="2:9" s="58" customFormat="1" ht="13.8" x14ac:dyDescent="0.25"/>
    <row r="4" spans="2:9" s="58" customFormat="1" ht="13.8" x14ac:dyDescent="0.25">
      <c r="B4" s="829" t="s">
        <v>497</v>
      </c>
      <c r="E4" s="58" t="s">
        <v>502</v>
      </c>
    </row>
    <row r="5" spans="2:9" s="58" customFormat="1" ht="13.8" x14ac:dyDescent="0.25">
      <c r="B5" s="829"/>
      <c r="D5" s="496"/>
      <c r="E5" s="58" t="s">
        <v>503</v>
      </c>
    </row>
    <row r="6" spans="2:9" s="58" customFormat="1" ht="13.8" x14ac:dyDescent="0.25"/>
    <row r="7" spans="2:9" s="58" customFormat="1" ht="13.8" x14ac:dyDescent="0.25"/>
    <row r="8" spans="2:9" s="58" customFormat="1" ht="13.8" x14ac:dyDescent="0.25">
      <c r="B8" s="847" t="s">
        <v>470</v>
      </c>
      <c r="D8" s="831" t="s">
        <v>472</v>
      </c>
      <c r="E8" s="831"/>
      <c r="F8" s="831"/>
      <c r="G8" s="508">
        <f>'BP VERSION JANVIER 2023'!J33</f>
        <v>6000</v>
      </c>
    </row>
    <row r="9" spans="2:9" s="58" customFormat="1" ht="25.5" customHeight="1" x14ac:dyDescent="0.25">
      <c r="B9" s="847"/>
      <c r="D9" s="503" t="s">
        <v>473</v>
      </c>
      <c r="E9" s="388"/>
      <c r="F9" s="388"/>
      <c r="G9" s="508">
        <f>-'BP VERSION JANVIER 2023'!F73</f>
        <v>-1293.9399999999998</v>
      </c>
    </row>
    <row r="10" spans="2:9" s="58" customFormat="1" ht="15" customHeight="1" x14ac:dyDescent="0.25">
      <c r="B10" s="847"/>
      <c r="D10" s="664" t="s">
        <v>492</v>
      </c>
      <c r="E10" s="848"/>
      <c r="F10" s="665"/>
      <c r="G10" s="508">
        <f>-'BP VERSION JANVIER 2023'!F74</f>
        <v>0</v>
      </c>
    </row>
    <row r="11" spans="2:9" s="58" customFormat="1" ht="15" customHeight="1" x14ac:dyDescent="0.25">
      <c r="B11" s="847"/>
      <c r="D11" s="664" t="s">
        <v>55</v>
      </c>
      <c r="E11" s="848"/>
      <c r="F11" s="665"/>
      <c r="G11" s="508">
        <f>'BP VERSION JANVIER 2023'!F75</f>
        <v>0</v>
      </c>
      <c r="I11" s="58" t="s">
        <v>504</v>
      </c>
    </row>
    <row r="12" spans="2:9" s="58" customFormat="1" ht="25.5" customHeight="1" x14ac:dyDescent="0.25">
      <c r="B12" s="847"/>
      <c r="D12" s="664" t="s">
        <v>493</v>
      </c>
      <c r="E12" s="848"/>
      <c r="F12" s="665"/>
      <c r="G12" s="508">
        <f>+'BP FORMAT JUILLET 2023'!F83</f>
        <v>0</v>
      </c>
    </row>
    <row r="13" spans="2:9" s="58" customFormat="1" ht="13.8" x14ac:dyDescent="0.25">
      <c r="B13" s="847"/>
      <c r="D13" s="834" t="s">
        <v>474</v>
      </c>
      <c r="E13" s="849"/>
      <c r="F13" s="835"/>
      <c r="G13" s="510"/>
    </row>
    <row r="14" spans="2:9" s="58" customFormat="1" ht="13.8" x14ac:dyDescent="0.25">
      <c r="B14" s="847"/>
      <c r="G14" s="497">
        <f>SUM(G8:G13)</f>
        <v>4706.0600000000004</v>
      </c>
      <c r="H14" s="508">
        <f>'BP VERSION JANVIER 2023'!J78</f>
        <v>4706.0600000000004</v>
      </c>
      <c r="I14" s="508">
        <f>'BP FORMAT JUILLET 2023'!J84</f>
        <v>4706.0600000000004</v>
      </c>
    </row>
    <row r="15" spans="2:9" s="58" customFormat="1" ht="13.8" x14ac:dyDescent="0.25">
      <c r="B15" s="502"/>
    </row>
    <row r="16" spans="2:9" s="58" customFormat="1" ht="13.8" x14ac:dyDescent="0.25"/>
    <row r="17" spans="2:9" s="58" customFormat="1" ht="13.8" x14ac:dyDescent="0.25">
      <c r="B17" s="847" t="s">
        <v>61</v>
      </c>
      <c r="D17" s="831" t="s">
        <v>472</v>
      </c>
      <c r="E17" s="831"/>
      <c r="F17" s="831"/>
      <c r="G17" s="508">
        <f>'BP VERSION JANVIER 2023'!J33</f>
        <v>6000</v>
      </c>
    </row>
    <row r="18" spans="2:9" s="58" customFormat="1" ht="13.8" x14ac:dyDescent="0.25">
      <c r="B18" s="847"/>
      <c r="D18" s="773" t="s">
        <v>473</v>
      </c>
      <c r="E18" s="773"/>
      <c r="F18" s="773"/>
      <c r="G18" s="508">
        <f>-'BP VERSION JANVIER 2023'!F73</f>
        <v>-1293.9399999999998</v>
      </c>
    </row>
    <row r="19" spans="2:9" s="58" customFormat="1" ht="13.8" x14ac:dyDescent="0.25">
      <c r="B19" s="847"/>
      <c r="D19" s="831" t="s">
        <v>475</v>
      </c>
      <c r="E19" s="831"/>
      <c r="F19" s="831"/>
      <c r="G19" s="508">
        <f>'BP VERSION JANVIER 2023'!G38</f>
        <v>48</v>
      </c>
    </row>
    <row r="20" spans="2:9" s="58" customFormat="1" ht="13.8" x14ac:dyDescent="0.25">
      <c r="B20" s="847"/>
      <c r="D20" s="831" t="s">
        <v>476</v>
      </c>
      <c r="E20" s="831"/>
      <c r="F20" s="831"/>
      <c r="G20" s="508"/>
    </row>
    <row r="21" spans="2:9" s="58" customFormat="1" ht="13.8" x14ac:dyDescent="0.25">
      <c r="B21" s="847"/>
      <c r="D21" s="831" t="s">
        <v>477</v>
      </c>
      <c r="E21" s="831"/>
      <c r="F21" s="831"/>
      <c r="G21" s="508">
        <f>'BP VERSION JANVIER 2023'!F67</f>
        <v>174.05</v>
      </c>
    </row>
    <row r="22" spans="2:9" s="58" customFormat="1" ht="13.8" x14ac:dyDescent="0.25">
      <c r="B22" s="847"/>
      <c r="G22" s="497">
        <f>SUM(G17:G21)</f>
        <v>4928.1100000000006</v>
      </c>
      <c r="H22" s="508">
        <f>'BP VERSION JANVIER 2023'!J87</f>
        <v>4928.1100000000006</v>
      </c>
      <c r="I22" s="508">
        <f>'BP FORMAT JUILLET 2023'!J85</f>
        <v>4928.1100000000006</v>
      </c>
    </row>
    <row r="23" spans="2:9" s="58" customFormat="1" ht="13.8" x14ac:dyDescent="0.25">
      <c r="B23" s="502"/>
      <c r="G23" s="455"/>
    </row>
    <row r="24" spans="2:9" s="58" customFormat="1" ht="13.8" x14ac:dyDescent="0.25"/>
    <row r="25" spans="2:9" s="58" customFormat="1" ht="13.8" x14ac:dyDescent="0.25">
      <c r="B25" s="851" t="s">
        <v>478</v>
      </c>
      <c r="D25" s="831" t="s">
        <v>61</v>
      </c>
      <c r="E25" s="831"/>
      <c r="F25" s="831"/>
      <c r="G25" s="497">
        <f>'BP VERSION JANVIER 2023'!J87</f>
        <v>4928.1100000000006</v>
      </c>
    </row>
    <row r="26" spans="2:9" s="58" customFormat="1" ht="13.8" x14ac:dyDescent="0.25">
      <c r="B26" s="851"/>
      <c r="D26" s="831" t="s">
        <v>494</v>
      </c>
      <c r="E26" s="831"/>
      <c r="F26" s="831"/>
      <c r="G26" s="504"/>
    </row>
    <row r="27" spans="2:9" s="58" customFormat="1" ht="13.8" x14ac:dyDescent="0.25">
      <c r="B27" s="851"/>
      <c r="D27" s="850" t="s">
        <v>495</v>
      </c>
      <c r="E27" s="850"/>
      <c r="F27" s="850"/>
      <c r="G27" s="504"/>
    </row>
    <row r="28" spans="2:9" s="58" customFormat="1" ht="13.8" x14ac:dyDescent="0.25">
      <c r="B28" s="851"/>
      <c r="G28" s="497">
        <f>SUM(G25:G27)</f>
        <v>4928.1100000000006</v>
      </c>
      <c r="H28" s="508">
        <f>'BP VERSION JANVIER 2023'!D83</f>
        <v>4928.1100000000006</v>
      </c>
      <c r="I28" s="508">
        <f>'BP FORMAT JUILLET 2023'!D89</f>
        <v>4928.1100000000006</v>
      </c>
    </row>
    <row r="29" spans="2:9" s="58" customFormat="1" ht="13.8" x14ac:dyDescent="0.25"/>
    <row r="30" spans="2:9" s="58" customFormat="1" ht="13.8" x14ac:dyDescent="0.25">
      <c r="B30" s="847" t="s">
        <v>479</v>
      </c>
    </row>
    <row r="31" spans="2:9" s="58" customFormat="1" ht="13.8" x14ac:dyDescent="0.25">
      <c r="B31" s="847"/>
      <c r="D31" s="831" t="s">
        <v>475</v>
      </c>
      <c r="E31" s="831"/>
      <c r="F31" s="831"/>
      <c r="G31" s="508">
        <f>'BP VERSION JANVIER 2023'!G38</f>
        <v>48</v>
      </c>
    </row>
    <row r="32" spans="2:9" s="58" customFormat="1" ht="13.8" x14ac:dyDescent="0.25">
      <c r="B32" s="847"/>
      <c r="D32" s="831" t="s">
        <v>480</v>
      </c>
      <c r="E32" s="831"/>
      <c r="F32" s="831"/>
      <c r="G32" s="508"/>
    </row>
    <row r="33" spans="2:9" s="58" customFormat="1" ht="13.8" x14ac:dyDescent="0.25">
      <c r="B33" s="847"/>
      <c r="D33" s="831" t="s">
        <v>481</v>
      </c>
      <c r="E33" s="831"/>
      <c r="F33" s="831"/>
      <c r="G33" s="508">
        <f>'BP VERSION JANVIER 2023'!G42</f>
        <v>58.88</v>
      </c>
    </row>
    <row r="34" spans="2:9" s="58" customFormat="1" ht="13.8" x14ac:dyDescent="0.25">
      <c r="G34" s="497">
        <f>SUM(G31:G33)</f>
        <v>106.88</v>
      </c>
      <c r="H34" s="504">
        <f>'BP VERSION JANVIER 2023'!C113</f>
        <v>106.88</v>
      </c>
      <c r="I34" s="504">
        <f>'BP FORMAT JUILLET 2023'!C127</f>
        <v>106.88</v>
      </c>
    </row>
    <row r="35" spans="2:9" s="58" customFormat="1" ht="13.8" x14ac:dyDescent="0.25">
      <c r="G35" s="455"/>
      <c r="H35" s="454"/>
      <c r="I35" s="454"/>
    </row>
    <row r="36" spans="2:9" s="58" customFormat="1" ht="13.8" x14ac:dyDescent="0.25">
      <c r="B36" s="847" t="s">
        <v>482</v>
      </c>
      <c r="D36" s="831" t="s">
        <v>483</v>
      </c>
      <c r="E36" s="831"/>
      <c r="F36" s="831"/>
      <c r="G36" s="511">
        <f>0.9825*'BP VERSION JANVIER 2023'!J33</f>
        <v>5895</v>
      </c>
    </row>
    <row r="37" spans="2:9" s="58" customFormat="1" ht="13.8" x14ac:dyDescent="0.25">
      <c r="B37" s="847"/>
      <c r="D37" s="831" t="s">
        <v>484</v>
      </c>
      <c r="E37" s="831"/>
      <c r="F37" s="831"/>
      <c r="G37" s="455">
        <f>'BP FORMAT JUILLET 2023'!G43</f>
        <v>48</v>
      </c>
    </row>
    <row r="38" spans="2:9" s="58" customFormat="1" ht="13.8" x14ac:dyDescent="0.25">
      <c r="B38" s="847"/>
      <c r="D38" s="831" t="s">
        <v>505</v>
      </c>
      <c r="E38" s="831"/>
      <c r="F38" s="831"/>
      <c r="G38" s="511">
        <f>'BP VERSION JANVIER 2023'!G42</f>
        <v>58.88</v>
      </c>
    </row>
    <row r="39" spans="2:9" s="58" customFormat="1" ht="13.8" x14ac:dyDescent="0.25">
      <c r="B39" s="847"/>
      <c r="G39" s="498">
        <f>SUM(G36:G38)</f>
        <v>6001.88</v>
      </c>
      <c r="H39" s="508">
        <f>'BP VERSION JANVIER 2023'!C66</f>
        <v>6001.88</v>
      </c>
      <c r="I39" s="508">
        <f>'BP FORMAT JUILLET 2023'!C66</f>
        <v>6001.88</v>
      </c>
    </row>
    <row r="40" spans="2:9" s="58" customFormat="1" ht="13.8" x14ac:dyDescent="0.25"/>
    <row r="41" spans="2:9" x14ac:dyDescent="0.3">
      <c r="B41" s="58"/>
      <c r="C41" s="388" t="s">
        <v>485</v>
      </c>
      <c r="D41" s="58"/>
      <c r="E41" s="388" t="s">
        <v>486</v>
      </c>
      <c r="F41" s="58"/>
      <c r="G41" s="309" t="s">
        <v>487</v>
      </c>
    </row>
    <row r="42" spans="2:9" s="58" customFormat="1" ht="13.8" x14ac:dyDescent="0.25">
      <c r="B42" s="58" t="s">
        <v>470</v>
      </c>
      <c r="C42" s="497">
        <f>H14</f>
        <v>4706.0600000000004</v>
      </c>
      <c r="E42" s="497">
        <f>I14</f>
        <v>4706.0600000000004</v>
      </c>
      <c r="G42" s="497">
        <f>C42-E42</f>
        <v>0</v>
      </c>
    </row>
    <row r="43" spans="2:9" s="58" customFormat="1" ht="13.8" x14ac:dyDescent="0.25">
      <c r="B43" s="58" t="s">
        <v>61</v>
      </c>
      <c r="C43" s="497">
        <f>G22</f>
        <v>4928.1100000000006</v>
      </c>
      <c r="E43" s="497">
        <f>I22</f>
        <v>4928.1100000000006</v>
      </c>
      <c r="G43" s="497">
        <f t="shared" ref="G43:G50" si="0">C43-E43</f>
        <v>0</v>
      </c>
    </row>
    <row r="44" spans="2:9" s="58" customFormat="1" ht="13.8" x14ac:dyDescent="0.25">
      <c r="B44" s="58" t="s">
        <v>478</v>
      </c>
      <c r="C44" s="497">
        <f>G28</f>
        <v>4928.1100000000006</v>
      </c>
      <c r="E44" s="498">
        <f>I28</f>
        <v>4928.1100000000006</v>
      </c>
      <c r="G44" s="497">
        <f t="shared" si="0"/>
        <v>0</v>
      </c>
    </row>
    <row r="45" spans="2:9" s="58" customFormat="1" ht="13.8" x14ac:dyDescent="0.25">
      <c r="B45" s="58" t="s">
        <v>498</v>
      </c>
      <c r="C45" s="497">
        <f>H34</f>
        <v>106.88</v>
      </c>
      <c r="E45" s="489">
        <f>I34</f>
        <v>106.88</v>
      </c>
      <c r="G45" s="497">
        <f t="shared" si="0"/>
        <v>0</v>
      </c>
    </row>
    <row r="46" spans="2:9" s="58" customFormat="1" ht="13.8" x14ac:dyDescent="0.25">
      <c r="B46" s="58" t="s">
        <v>488</v>
      </c>
      <c r="C46" s="504">
        <f>'BP VERSION JANVIER 2023'!F73</f>
        <v>1293.9399999999998</v>
      </c>
      <c r="E46" s="508">
        <f>'BP FORMAT JUILLET 2023'!F73+'BP FORMAT JUILLET 2023'!F76</f>
        <v>1293.9399999999998</v>
      </c>
      <c r="G46" s="497">
        <f t="shared" si="0"/>
        <v>0</v>
      </c>
    </row>
    <row r="47" spans="2:9" x14ac:dyDescent="0.3">
      <c r="B47" s="58" t="s">
        <v>489</v>
      </c>
      <c r="C47" s="506">
        <f>'BP VERSION JANVIER 2023'!G73</f>
        <v>2871.8999999999996</v>
      </c>
      <c r="E47" s="506">
        <f>'BP FORMAT JUILLET 2023'!G73+'BP FORMAT JUILLET 2023'!G76</f>
        <v>2871.8999999999996</v>
      </c>
      <c r="G47" s="497">
        <f t="shared" si="0"/>
        <v>0</v>
      </c>
    </row>
    <row r="48" spans="2:9" x14ac:dyDescent="0.3">
      <c r="B48" s="58" t="s">
        <v>499</v>
      </c>
      <c r="C48" s="509">
        <f>H39</f>
        <v>6001.88</v>
      </c>
      <c r="E48" s="509">
        <f>I39</f>
        <v>6001.88</v>
      </c>
      <c r="G48" s="497">
        <f t="shared" si="0"/>
        <v>0</v>
      </c>
    </row>
    <row r="49" spans="2:7" x14ac:dyDescent="0.3">
      <c r="B49" s="58" t="s">
        <v>490</v>
      </c>
      <c r="C49" s="506">
        <f>'BP VERSION JANVIER 2023'!G71</f>
        <v>0</v>
      </c>
      <c r="E49" s="507">
        <f>'BP FORMAT JUILLET 2023'!G71</f>
        <v>0</v>
      </c>
      <c r="G49" s="497">
        <f t="shared" si="0"/>
        <v>0</v>
      </c>
    </row>
    <row r="50" spans="2:7" x14ac:dyDescent="0.3">
      <c r="B50" s="58" t="s">
        <v>491</v>
      </c>
      <c r="C50" s="507">
        <f>'BP VERSION JANVIER 2023'!J85</f>
        <v>0</v>
      </c>
      <c r="E50" s="505">
        <f>'BP FORMAT JUILLET 2023'!J91</f>
        <v>0</v>
      </c>
      <c r="G50" s="497">
        <f t="shared" si="0"/>
        <v>0</v>
      </c>
    </row>
    <row r="53" spans="2:7" x14ac:dyDescent="0.3">
      <c r="B53" s="58" t="s">
        <v>500</v>
      </c>
    </row>
    <row r="54" spans="2:7" x14ac:dyDescent="0.3">
      <c r="B54" s="58" t="s">
        <v>501</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opLeftCell="A58" zoomScale="140" zoomScaleNormal="140" workbookViewId="0">
      <selection activeCell="E134" sqref="E134"/>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674" t="s">
        <v>471</v>
      </c>
      <c r="B1" s="674"/>
      <c r="C1" s="674"/>
      <c r="D1" s="674"/>
      <c r="E1" s="674"/>
      <c r="F1" s="674"/>
      <c r="G1" s="674"/>
      <c r="H1" s="675"/>
      <c r="I1" s="675"/>
      <c r="J1" s="675"/>
    </row>
    <row r="2" spans="1:10" ht="15.75" customHeight="1" x14ac:dyDescent="0.3">
      <c r="A2" s="676" t="s">
        <v>0</v>
      </c>
      <c r="B2" s="677"/>
      <c r="C2" s="677"/>
      <c r="D2" s="678"/>
      <c r="E2" s="312"/>
      <c r="F2" s="679" t="s">
        <v>1</v>
      </c>
      <c r="G2" s="680"/>
      <c r="H2" s="680"/>
      <c r="I2" s="680"/>
      <c r="J2" s="681"/>
    </row>
    <row r="3" spans="1:10" ht="15.75" customHeight="1" x14ac:dyDescent="0.25">
      <c r="A3" s="313" t="s">
        <v>2</v>
      </c>
      <c r="B3" s="682" t="str">
        <f>'Masque de Saisie'!G4</f>
        <v xml:space="preserve">ATGR </v>
      </c>
      <c r="C3" s="683"/>
      <c r="D3" s="684"/>
      <c r="E3" s="314"/>
      <c r="F3" s="315" t="s">
        <v>2</v>
      </c>
      <c r="G3" s="669" t="str">
        <f>'Masque de Saisie'!E26</f>
        <v xml:space="preserve">MARTINO </v>
      </c>
      <c r="H3" s="669"/>
      <c r="I3" s="669"/>
      <c r="J3" s="669"/>
    </row>
    <row r="4" spans="1:10" ht="15.75" customHeight="1" x14ac:dyDescent="0.25">
      <c r="A4" s="313" t="s">
        <v>3</v>
      </c>
      <c r="B4" s="682" t="str">
        <f>'Masque de Saisie'!G5</f>
        <v xml:space="preserve">3 Rue Paul Vaillant Couturier 92300 Levallois-Perret </v>
      </c>
      <c r="C4" s="683"/>
      <c r="D4" s="684"/>
      <c r="E4" s="314"/>
      <c r="F4" s="315" t="s">
        <v>4</v>
      </c>
      <c r="G4" s="669" t="str">
        <f>'Masque de Saisie'!E27</f>
        <v xml:space="preserve">Ange </v>
      </c>
      <c r="H4" s="669"/>
      <c r="I4" s="669"/>
      <c r="J4" s="669"/>
    </row>
    <row r="5" spans="1:10" ht="15.75" customHeight="1" x14ac:dyDescent="0.25">
      <c r="A5" s="313"/>
      <c r="B5" s="666"/>
      <c r="C5" s="667"/>
      <c r="D5" s="668"/>
      <c r="E5" s="314"/>
      <c r="F5" s="315" t="s">
        <v>5</v>
      </c>
      <c r="G5" s="669" t="str">
        <f>'Masque de Saisie'!E29</f>
        <v xml:space="preserve">Architecte </v>
      </c>
      <c r="H5" s="669"/>
      <c r="I5" s="669"/>
      <c r="J5" s="669"/>
    </row>
    <row r="6" spans="1:10" ht="15.75" customHeight="1" x14ac:dyDescent="0.25">
      <c r="A6" s="313" t="s">
        <v>6</v>
      </c>
      <c r="B6" s="670">
        <f>'Masque de Saisie'!G6</f>
        <v>34464426500029</v>
      </c>
      <c r="C6" s="671"/>
      <c r="D6" s="672"/>
      <c r="E6" s="316"/>
      <c r="F6" s="315" t="s">
        <v>7</v>
      </c>
      <c r="G6" s="669"/>
      <c r="H6" s="669"/>
      <c r="I6" s="669"/>
      <c r="J6" s="669"/>
    </row>
    <row r="7" spans="1:10" ht="15.75" customHeight="1" x14ac:dyDescent="0.25">
      <c r="A7" s="313" t="s">
        <v>8</v>
      </c>
      <c r="B7" s="666" t="str">
        <f>'Masque de Saisie'!G7</f>
        <v xml:space="preserve">7111C </v>
      </c>
      <c r="C7" s="667"/>
      <c r="D7" s="668"/>
      <c r="E7" s="314"/>
      <c r="F7" s="315" t="s">
        <v>9</v>
      </c>
      <c r="G7" s="673" t="str">
        <f>'Masque de Saisie'!E31</f>
        <v>1.91.02.297.820. 957</v>
      </c>
      <c r="H7" s="673"/>
      <c r="I7" s="673"/>
      <c r="J7" s="673"/>
    </row>
    <row r="8" spans="1:10" ht="15.75" customHeight="1" x14ac:dyDescent="0.25">
      <c r="A8" s="313" t="s">
        <v>10</v>
      </c>
      <c r="B8" s="670"/>
      <c r="C8" s="671"/>
      <c r="D8" s="672"/>
      <c r="E8" s="316"/>
      <c r="F8" s="317" t="s">
        <v>3</v>
      </c>
      <c r="G8" s="669" t="str">
        <f>'Masque de Saisie'!E28</f>
        <v xml:space="preserve">15  Avenue du Val Fleuri 92700 Colombes </v>
      </c>
      <c r="H8" s="669"/>
      <c r="I8" s="669"/>
      <c r="J8" s="669"/>
    </row>
    <row r="9" spans="1:10" ht="15.75" customHeight="1" x14ac:dyDescent="0.25">
      <c r="A9" s="313" t="s">
        <v>11</v>
      </c>
      <c r="B9" s="513">
        <f>'Masque de Saisie'!G9</f>
        <v>15</v>
      </c>
      <c r="C9" s="1002" t="str">
        <f>+'Masque de Saisie'!E51</f>
        <v xml:space="preserve">Forfait 218 jours </v>
      </c>
      <c r="D9" s="668"/>
      <c r="E9" s="314"/>
      <c r="F9" s="691" t="s">
        <v>12</v>
      </c>
      <c r="G9" s="692"/>
      <c r="H9" s="319"/>
      <c r="I9" s="320">
        <f>'Masque de Saisie'!E33</f>
        <v>2</v>
      </c>
      <c r="J9" s="320" t="str">
        <f>'Masque de Saisie'!E32</f>
        <v>C</v>
      </c>
    </row>
    <row r="10" spans="1:10" ht="15.75" customHeight="1" x14ac:dyDescent="0.25">
      <c r="A10" s="322" t="s">
        <v>13</v>
      </c>
      <c r="B10" s="328">
        <f>'Masque de Saisie'!E46</f>
        <v>151.66999999999999</v>
      </c>
      <c r="C10" s="320" t="s">
        <v>14</v>
      </c>
      <c r="D10" s="432">
        <f>'Masque de Saisie'!E43</f>
        <v>11.88</v>
      </c>
      <c r="E10" s="314"/>
      <c r="F10" s="666" t="s">
        <v>238</v>
      </c>
      <c r="G10" s="668"/>
      <c r="H10" s="373">
        <f>'Masque de Saisie'!E38</f>
        <v>45658</v>
      </c>
      <c r="I10" s="324" t="s">
        <v>15</v>
      </c>
      <c r="J10" s="373">
        <f>'Masque de Saisie'!E39</f>
        <v>45688</v>
      </c>
    </row>
    <row r="11" spans="1:10" ht="30" customHeight="1" x14ac:dyDescent="0.25">
      <c r="A11" s="325"/>
      <c r="B11" s="693" t="s">
        <v>314</v>
      </c>
      <c r="C11" s="694"/>
      <c r="D11" s="695"/>
      <c r="E11" s="326"/>
      <c r="F11" s="325" t="s">
        <v>16</v>
      </c>
      <c r="G11" s="378">
        <f>'Masque de Saisie'!E39</f>
        <v>45688</v>
      </c>
      <c r="H11" s="64"/>
      <c r="I11" s="64"/>
      <c r="J11" s="379"/>
    </row>
    <row r="12" spans="1:10" ht="9.75" customHeight="1" x14ac:dyDescent="0.25">
      <c r="A12" s="696"/>
      <c r="B12" s="697"/>
      <c r="C12" s="697"/>
      <c r="D12" s="697"/>
      <c r="E12" s="697"/>
      <c r="F12" s="697"/>
      <c r="G12" s="697"/>
      <c r="H12" s="697"/>
      <c r="I12" s="697"/>
      <c r="J12" s="697"/>
    </row>
    <row r="13" spans="1:10" ht="18" customHeight="1" x14ac:dyDescent="0.25">
      <c r="A13" s="685" t="s">
        <v>324</v>
      </c>
      <c r="B13" s="686"/>
      <c r="C13" s="686"/>
      <c r="D13" s="686"/>
      <c r="E13" s="686"/>
      <c r="F13" s="687"/>
      <c r="G13" s="328">
        <f>'Masque de Saisie'!E42</f>
        <v>151.66999999999999</v>
      </c>
      <c r="H13" s="325" t="s">
        <v>17</v>
      </c>
      <c r="I13" s="329">
        <v>6.5932616865563398</v>
      </c>
      <c r="J13" s="330">
        <f>'Masque de Saisie'!E41</f>
        <v>6000</v>
      </c>
    </row>
    <row r="14" spans="1:10" ht="14.4" hidden="1" customHeight="1" x14ac:dyDescent="0.25">
      <c r="A14" s="685" t="s">
        <v>239</v>
      </c>
      <c r="B14" s="686"/>
      <c r="C14" s="686"/>
      <c r="D14" s="686"/>
      <c r="E14" s="686"/>
      <c r="F14" s="687"/>
      <c r="G14" s="325"/>
      <c r="H14" s="325"/>
      <c r="I14" s="329"/>
      <c r="J14" s="330"/>
    </row>
    <row r="15" spans="1:10" ht="14.4" hidden="1" customHeight="1" x14ac:dyDescent="0.25">
      <c r="A15" s="685"/>
      <c r="B15" s="686"/>
      <c r="C15" s="686"/>
      <c r="D15" s="686"/>
      <c r="E15" s="686"/>
      <c r="F15" s="687"/>
      <c r="G15" s="331"/>
      <c r="H15" s="332"/>
      <c r="I15" s="329"/>
      <c r="J15" s="330"/>
    </row>
    <row r="16" spans="1:10" ht="14.4" hidden="1" customHeight="1" x14ac:dyDescent="0.25">
      <c r="A16" s="688" t="s">
        <v>415</v>
      </c>
      <c r="B16" s="689"/>
      <c r="C16" s="689"/>
      <c r="D16" s="689"/>
      <c r="E16" s="689"/>
      <c r="F16" s="690"/>
      <c r="G16" s="331"/>
      <c r="H16" s="332"/>
      <c r="I16" s="329"/>
      <c r="J16" s="330"/>
    </row>
    <row r="17" spans="1:10" ht="14.4" hidden="1" customHeight="1" x14ac:dyDescent="0.25">
      <c r="A17" s="688" t="s">
        <v>18</v>
      </c>
      <c r="B17" s="689"/>
      <c r="C17" s="689"/>
      <c r="D17" s="689"/>
      <c r="E17" s="689"/>
      <c r="F17" s="690"/>
      <c r="G17" s="331"/>
      <c r="H17" s="332" t="s">
        <v>17</v>
      </c>
      <c r="I17" s="329"/>
      <c r="J17" s="330"/>
    </row>
    <row r="18" spans="1:10" ht="14.4" hidden="1" customHeight="1" x14ac:dyDescent="0.25">
      <c r="A18" s="688" t="s">
        <v>240</v>
      </c>
      <c r="B18" s="689"/>
      <c r="C18" s="689"/>
      <c r="D18" s="689"/>
      <c r="E18" s="689"/>
      <c r="F18" s="690"/>
      <c r="G18" s="331"/>
      <c r="H18" s="332" t="s">
        <v>17</v>
      </c>
      <c r="I18" s="329"/>
      <c r="J18" s="330">
        <f t="shared" ref="J18:J21" si="0">ROUND(G18*I18,2)</f>
        <v>0</v>
      </c>
    </row>
    <row r="19" spans="1:10" ht="14.4" hidden="1" customHeight="1" x14ac:dyDescent="0.25">
      <c r="A19" s="688" t="s">
        <v>241</v>
      </c>
      <c r="B19" s="689"/>
      <c r="C19" s="689"/>
      <c r="D19" s="689"/>
      <c r="E19" s="689"/>
      <c r="F19" s="690"/>
      <c r="G19" s="331"/>
      <c r="H19" s="332" t="s">
        <v>17</v>
      </c>
      <c r="I19" s="329"/>
      <c r="J19" s="330">
        <f t="shared" si="0"/>
        <v>0</v>
      </c>
    </row>
    <row r="20" spans="1:10" ht="14.4" hidden="1" customHeight="1" x14ac:dyDescent="0.25">
      <c r="A20" s="688" t="s">
        <v>242</v>
      </c>
      <c r="B20" s="689"/>
      <c r="C20" s="689"/>
      <c r="D20" s="689"/>
      <c r="E20" s="689"/>
      <c r="F20" s="690"/>
      <c r="G20" s="331"/>
      <c r="H20" s="332" t="s">
        <v>17</v>
      </c>
      <c r="I20" s="329"/>
      <c r="J20" s="330">
        <f t="shared" si="0"/>
        <v>0</v>
      </c>
    </row>
    <row r="21" spans="1:10" ht="14.4" hidden="1" customHeight="1" x14ac:dyDescent="0.25">
      <c r="A21" s="688" t="s">
        <v>243</v>
      </c>
      <c r="B21" s="689"/>
      <c r="C21" s="689"/>
      <c r="D21" s="689"/>
      <c r="E21" s="689"/>
      <c r="F21" s="690"/>
      <c r="G21" s="460">
        <f>'Masque de Saisie'!E45</f>
        <v>0</v>
      </c>
      <c r="H21" s="332" t="s">
        <v>17</v>
      </c>
      <c r="I21" s="329">
        <f>ROUND(((J13+J16)*1.25/G13),6)</f>
        <v>49.449463000000002</v>
      </c>
      <c r="J21" s="330">
        <f t="shared" si="0"/>
        <v>0</v>
      </c>
    </row>
    <row r="22" spans="1:10" ht="14.4" hidden="1" customHeight="1" x14ac:dyDescent="0.25">
      <c r="A22" s="688" t="s">
        <v>244</v>
      </c>
      <c r="B22" s="689"/>
      <c r="C22" s="689"/>
      <c r="D22" s="689"/>
      <c r="E22" s="689"/>
      <c r="F22" s="690"/>
      <c r="G22" s="331"/>
      <c r="H22" s="332" t="s">
        <v>19</v>
      </c>
      <c r="I22" s="325"/>
      <c r="J22" s="330"/>
    </row>
    <row r="23" spans="1:10" ht="14.4" hidden="1" customHeight="1" x14ac:dyDescent="0.25">
      <c r="A23" s="688" t="s">
        <v>511</v>
      </c>
      <c r="B23" s="689"/>
      <c r="C23" s="689"/>
      <c r="D23" s="689"/>
      <c r="E23" s="689"/>
      <c r="F23" s="690"/>
      <c r="G23" s="327"/>
      <c r="H23" s="333"/>
      <c r="I23" s="321"/>
      <c r="J23" s="334"/>
    </row>
    <row r="24" spans="1:10" ht="14.4" hidden="1" customHeight="1" x14ac:dyDescent="0.25">
      <c r="A24" s="688" t="s">
        <v>20</v>
      </c>
      <c r="B24" s="689"/>
      <c r="C24" s="689"/>
      <c r="D24" s="689"/>
      <c r="E24" s="689"/>
      <c r="F24" s="690"/>
      <c r="G24" s="327"/>
      <c r="H24" s="333"/>
      <c r="I24" s="321"/>
      <c r="J24" s="334"/>
    </row>
    <row r="25" spans="1:10" ht="14.4" hidden="1" customHeight="1" x14ac:dyDescent="0.25">
      <c r="A25" s="688" t="s">
        <v>21</v>
      </c>
      <c r="B25" s="689"/>
      <c r="C25" s="689"/>
      <c r="D25" s="689"/>
      <c r="E25" s="689"/>
      <c r="F25" s="690"/>
      <c r="G25" s="327"/>
      <c r="H25" s="333"/>
      <c r="I25" s="321"/>
      <c r="J25" s="334"/>
    </row>
    <row r="26" spans="1:10" ht="14.4" hidden="1" customHeight="1" x14ac:dyDescent="0.25">
      <c r="A26" s="685" t="s">
        <v>22</v>
      </c>
      <c r="B26" s="686"/>
      <c r="C26" s="686"/>
      <c r="D26" s="686"/>
      <c r="E26" s="686"/>
      <c r="F26" s="687"/>
      <c r="G26" s="327"/>
      <c r="H26" s="333"/>
      <c r="I26" s="321"/>
      <c r="J26" s="334"/>
    </row>
    <row r="27" spans="1:10" ht="14.4" hidden="1" customHeight="1" x14ac:dyDescent="0.25">
      <c r="A27" s="685" t="s">
        <v>23</v>
      </c>
      <c r="B27" s="686"/>
      <c r="C27" s="686"/>
      <c r="D27" s="686"/>
      <c r="E27" s="686"/>
      <c r="F27" s="687"/>
      <c r="G27" s="327"/>
      <c r="H27" s="333"/>
      <c r="I27" s="321"/>
      <c r="J27" s="334"/>
    </row>
    <row r="28" spans="1:10" ht="14.4" hidden="1" customHeight="1" x14ac:dyDescent="0.25">
      <c r="A28" s="685" t="s">
        <v>24</v>
      </c>
      <c r="B28" s="686"/>
      <c r="C28" s="686"/>
      <c r="D28" s="686"/>
      <c r="E28" s="686"/>
      <c r="F28" s="687"/>
      <c r="G28" s="327"/>
      <c r="H28" s="333"/>
      <c r="I28" s="321"/>
      <c r="J28" s="334"/>
    </row>
    <row r="29" spans="1:10" ht="14.4" hidden="1" customHeight="1" x14ac:dyDescent="0.25">
      <c r="A29" s="685" t="s">
        <v>25</v>
      </c>
      <c r="B29" s="686"/>
      <c r="C29" s="686"/>
      <c r="D29" s="686"/>
      <c r="E29" s="686"/>
      <c r="F29" s="687"/>
      <c r="G29" s="327"/>
      <c r="H29" s="333"/>
      <c r="I29" s="321"/>
      <c r="J29" s="334"/>
    </row>
    <row r="30" spans="1:10" ht="14.4" hidden="1" customHeight="1" x14ac:dyDescent="0.25">
      <c r="A30" s="685" t="s">
        <v>26</v>
      </c>
      <c r="B30" s="686"/>
      <c r="C30" s="686"/>
      <c r="D30" s="686"/>
      <c r="E30" s="686"/>
      <c r="F30" s="687"/>
      <c r="G30" s="327"/>
      <c r="H30" s="333"/>
      <c r="I30" s="321"/>
      <c r="J30" s="334"/>
    </row>
    <row r="31" spans="1:10" ht="14.4" hidden="1" customHeight="1" x14ac:dyDescent="0.25">
      <c r="A31" s="685" t="s">
        <v>27</v>
      </c>
      <c r="B31" s="686"/>
      <c r="C31" s="686"/>
      <c r="D31" s="686"/>
      <c r="E31" s="686"/>
      <c r="F31" s="687"/>
      <c r="G31" s="327"/>
      <c r="H31" s="333"/>
      <c r="I31" s="321"/>
      <c r="J31" s="334"/>
    </row>
    <row r="32" spans="1:10" ht="14.4" hidden="1" customHeight="1" x14ac:dyDescent="0.25">
      <c r="A32" s="685"/>
      <c r="B32" s="686"/>
      <c r="C32" s="686"/>
      <c r="D32" s="686"/>
      <c r="E32" s="686"/>
      <c r="F32" s="687"/>
      <c r="G32" s="327"/>
      <c r="H32" s="333"/>
      <c r="I32" s="321"/>
      <c r="J32" s="334"/>
    </row>
    <row r="33" spans="1:10" ht="16.2" customHeight="1" x14ac:dyDescent="0.3">
      <c r="A33" s="702" t="s">
        <v>28</v>
      </c>
      <c r="B33" s="703"/>
      <c r="C33" s="335">
        <f>'Masque de Saisie'!E44</f>
        <v>3925</v>
      </c>
      <c r="D33" s="807" t="s">
        <v>29</v>
      </c>
      <c r="E33" s="808"/>
      <c r="F33" s="808"/>
      <c r="G33" s="808"/>
      <c r="H33" s="808"/>
      <c r="I33" s="809"/>
      <c r="J33" s="461">
        <f>SUM(J13:J32)</f>
        <v>6000</v>
      </c>
    </row>
    <row r="34" spans="1:10" ht="10.5" customHeight="1" x14ac:dyDescent="0.25">
      <c r="A34" s="810"/>
      <c r="B34" s="811"/>
      <c r="C34" s="811"/>
      <c r="D34" s="811"/>
      <c r="E34" s="811"/>
      <c r="F34" s="811"/>
      <c r="G34" s="811"/>
      <c r="H34" s="811"/>
      <c r="I34" s="811"/>
      <c r="J34" s="812"/>
    </row>
    <row r="35" spans="1:10" ht="30" customHeight="1" x14ac:dyDescent="0.25">
      <c r="A35" s="813" t="s">
        <v>295</v>
      </c>
      <c r="B35" s="814"/>
      <c r="C35" s="371" t="s">
        <v>31</v>
      </c>
      <c r="D35" s="372" t="s">
        <v>32</v>
      </c>
      <c r="E35" s="372" t="s">
        <v>33</v>
      </c>
      <c r="F35" s="371" t="s">
        <v>34</v>
      </c>
      <c r="G35" s="371" t="s">
        <v>35</v>
      </c>
      <c r="H35" s="270"/>
    </row>
    <row r="36" spans="1:10" ht="17.399999999999999" customHeight="1" x14ac:dyDescent="0.25">
      <c r="A36" s="815" t="s">
        <v>36</v>
      </c>
      <c r="B36" s="816"/>
      <c r="C36" s="817"/>
      <c r="D36" s="818"/>
      <c r="E36" s="818"/>
      <c r="F36" s="818"/>
      <c r="G36" s="819"/>
    </row>
    <row r="37" spans="1:10" ht="19.8" customHeight="1" x14ac:dyDescent="0.25">
      <c r="A37" s="721" t="s">
        <v>278</v>
      </c>
      <c r="B37" s="716"/>
      <c r="C37" s="336">
        <f>J33</f>
        <v>6000</v>
      </c>
      <c r="D37" s="337"/>
      <c r="E37" s="337">
        <f>VLOOKUP(A37,TAUX2023,4,FALSE)</f>
        <v>7.0000000000000007E-2</v>
      </c>
      <c r="F37" s="338"/>
      <c r="G37" s="336">
        <f>ROUND(C37*E37,2)</f>
        <v>420</v>
      </c>
      <c r="J37" s="228"/>
    </row>
    <row r="38" spans="1:10" ht="19.8" customHeight="1" x14ac:dyDescent="0.25">
      <c r="A38" s="721" t="s">
        <v>205</v>
      </c>
      <c r="B38" s="716"/>
      <c r="C38" s="339">
        <f>IF(J33&gt;2.25*B10*D10,J33,0)</f>
        <v>6000</v>
      </c>
      <c r="D38" s="337"/>
      <c r="E38" s="337">
        <f>VLOOKUP(A38,TAUX2023,4,FALSE)</f>
        <v>0.06</v>
      </c>
      <c r="F38" s="338"/>
      <c r="G38" s="336">
        <f t="shared" ref="G38:G63" si="1">ROUND(C38*E38,2)</f>
        <v>360</v>
      </c>
      <c r="J38" s="228"/>
    </row>
    <row r="39" spans="1:10" ht="19.8" hidden="1" customHeight="1" x14ac:dyDescent="0.25">
      <c r="A39" s="818"/>
      <c r="B39" s="819"/>
      <c r="C39" s="336"/>
      <c r="D39" s="340"/>
      <c r="E39" s="340"/>
      <c r="F39" s="338">
        <f t="shared" ref="F39:F71" si="2">ROUND(C39*D39,2)</f>
        <v>0</v>
      </c>
      <c r="G39" s="336">
        <f t="shared" si="1"/>
        <v>0</v>
      </c>
      <c r="J39" s="42"/>
    </row>
    <row r="40" spans="1:10" ht="19.8" hidden="1" customHeight="1" x14ac:dyDescent="0.25">
      <c r="A40" s="721" t="s">
        <v>255</v>
      </c>
      <c r="B40" s="716"/>
      <c r="C40" s="336">
        <f>IF(I9=1,J33,0)</f>
        <v>0</v>
      </c>
      <c r="D40" s="337">
        <f>'Masque de Saisie'!G12</f>
        <v>0</v>
      </c>
      <c r="E40" s="337">
        <f>'Masque de Saisie'!H12</f>
        <v>0</v>
      </c>
      <c r="F40" s="338">
        <f t="shared" si="2"/>
        <v>0</v>
      </c>
      <c r="G40" s="336">
        <f t="shared" si="1"/>
        <v>0</v>
      </c>
      <c r="J40" s="42"/>
    </row>
    <row r="41" spans="1:10" ht="19.8" hidden="1" customHeight="1" x14ac:dyDescent="0.25">
      <c r="A41" s="761"/>
      <c r="B41" s="761"/>
      <c r="C41" s="336"/>
      <c r="D41" s="337"/>
      <c r="E41" s="337"/>
      <c r="F41" s="338">
        <f t="shared" si="2"/>
        <v>0</v>
      </c>
      <c r="G41" s="336">
        <f t="shared" si="1"/>
        <v>0</v>
      </c>
      <c r="J41" s="42"/>
    </row>
    <row r="42" spans="1:10" ht="19.8" hidden="1" customHeight="1" x14ac:dyDescent="0.25">
      <c r="A42" s="761"/>
      <c r="B42" s="761"/>
      <c r="C42" s="340"/>
      <c r="D42" s="340"/>
      <c r="E42" s="340"/>
      <c r="F42" s="338">
        <f t="shared" si="2"/>
        <v>0</v>
      </c>
      <c r="G42" s="336">
        <f t="shared" si="1"/>
        <v>0</v>
      </c>
      <c r="J42" s="42"/>
    </row>
    <row r="43" spans="1:10" ht="16.8" customHeight="1" x14ac:dyDescent="0.25">
      <c r="A43" s="721" t="s">
        <v>201</v>
      </c>
      <c r="B43" s="716"/>
      <c r="C43" s="336">
        <f>IF(I9=2,J33,0)</f>
        <v>6000</v>
      </c>
      <c r="D43" s="337">
        <f>'Masque de Saisie'!G15</f>
        <v>8.0000000000000002E-3</v>
      </c>
      <c r="E43" s="337">
        <f>'Masque de Saisie'!H15</f>
        <v>8.0000000000000002E-3</v>
      </c>
      <c r="F43" s="338">
        <f t="shared" si="2"/>
        <v>48</v>
      </c>
      <c r="G43" s="336">
        <f t="shared" si="1"/>
        <v>48</v>
      </c>
      <c r="J43" s="42"/>
    </row>
    <row r="44" spans="1:10" ht="20.399999999999999" customHeight="1" x14ac:dyDescent="0.25">
      <c r="A44" s="708" t="s">
        <v>206</v>
      </c>
      <c r="B44" s="708"/>
      <c r="C44" s="336">
        <f>IF(I9=2,IF(E76=0,IF(J33&gt;C33,C33,J33),0),0)</f>
        <v>3925</v>
      </c>
      <c r="D44" s="337"/>
      <c r="E44" s="337">
        <f>VLOOKUP(A44,TAUX2023,4,FALSE)</f>
        <v>1.4999999999999999E-2</v>
      </c>
      <c r="F44" s="350">
        <f>ROUND(C44*D44,2)</f>
        <v>0</v>
      </c>
      <c r="G44" s="213">
        <f>ROUND(C44*E44,2)</f>
        <v>58.88</v>
      </c>
      <c r="J44" s="42"/>
    </row>
    <row r="45" spans="1:10" ht="16.8" hidden="1" customHeight="1" x14ac:dyDescent="0.25">
      <c r="A45" s="761" t="s">
        <v>207</v>
      </c>
      <c r="B45" s="761"/>
      <c r="C45" s="341"/>
      <c r="D45" s="337">
        <f>VLOOKUP(A45,TAUX2023,3,FALSE)</f>
        <v>0</v>
      </c>
      <c r="E45" s="337">
        <f>VLOOKUP(A45,TAUX2023,4,FALSE)</f>
        <v>0</v>
      </c>
      <c r="F45" s="338">
        <f t="shared" si="2"/>
        <v>0</v>
      </c>
      <c r="G45" s="336">
        <f t="shared" si="1"/>
        <v>0</v>
      </c>
      <c r="J45" s="42"/>
    </row>
    <row r="46" spans="1:10" ht="16.8" hidden="1" customHeight="1" x14ac:dyDescent="0.25">
      <c r="A46" s="761" t="s">
        <v>208</v>
      </c>
      <c r="B46" s="761"/>
      <c r="C46" s="336"/>
      <c r="D46" s="337">
        <f>VLOOKUP(A46,TAUX2023,3,FALSE)</f>
        <v>0</v>
      </c>
      <c r="E46" s="337">
        <f>VLOOKUP(A46,TAUX2023,4,FALSE)</f>
        <v>0</v>
      </c>
      <c r="F46" s="338">
        <f t="shared" si="2"/>
        <v>0</v>
      </c>
      <c r="G46" s="336">
        <f t="shared" si="1"/>
        <v>0</v>
      </c>
      <c r="J46" s="42"/>
    </row>
    <row r="47" spans="1:10" ht="16.8" hidden="1" customHeight="1" x14ac:dyDescent="0.25">
      <c r="A47" s="762"/>
      <c r="B47" s="762"/>
      <c r="C47" s="336"/>
      <c r="D47" s="337"/>
      <c r="E47" s="337"/>
      <c r="F47" s="338">
        <f t="shared" si="2"/>
        <v>0</v>
      </c>
      <c r="G47" s="336">
        <f t="shared" si="1"/>
        <v>0</v>
      </c>
      <c r="J47" s="42"/>
    </row>
    <row r="48" spans="1:10" ht="16.8" hidden="1" customHeight="1" x14ac:dyDescent="0.25">
      <c r="A48" s="58"/>
      <c r="B48" s="58"/>
      <c r="C48" s="336"/>
      <c r="D48" s="340"/>
      <c r="E48" s="340"/>
      <c r="F48" s="338">
        <f t="shared" si="2"/>
        <v>0</v>
      </c>
      <c r="G48" s="336">
        <f t="shared" si="1"/>
        <v>0</v>
      </c>
      <c r="J48" s="42"/>
    </row>
    <row r="49" spans="1:17" ht="20.399999999999999" customHeight="1" x14ac:dyDescent="0.25">
      <c r="A49" s="790" t="s">
        <v>37</v>
      </c>
      <c r="B49" s="791"/>
      <c r="C49" s="342">
        <f>J33</f>
        <v>6000</v>
      </c>
      <c r="D49" s="337"/>
      <c r="E49" s="337">
        <f>'Masque de Saisie'!H21</f>
        <v>1.2999999999999999E-2</v>
      </c>
      <c r="F49" s="338"/>
      <c r="G49" s="336">
        <f t="shared" si="1"/>
        <v>78</v>
      </c>
      <c r="J49" s="42"/>
      <c r="L49" s="789"/>
    </row>
    <row r="50" spans="1:17" ht="19.8" customHeight="1" x14ac:dyDescent="0.25">
      <c r="A50" s="790" t="s">
        <v>38</v>
      </c>
      <c r="B50" s="791"/>
      <c r="C50" s="343"/>
      <c r="D50" s="337"/>
      <c r="E50" s="337"/>
      <c r="F50" s="338"/>
      <c r="G50" s="336"/>
      <c r="L50" s="789"/>
    </row>
    <row r="51" spans="1:17" ht="18.75" customHeight="1" x14ac:dyDescent="0.25">
      <c r="A51" s="767" t="s">
        <v>39</v>
      </c>
      <c r="B51" s="721"/>
      <c r="C51" s="336">
        <f>IF(J33&gt;C33,C33,J33)</f>
        <v>3925</v>
      </c>
      <c r="D51" s="337">
        <f>VLOOKUP(A51,TAUX2023,3,FALSE)</f>
        <v>6.9000000000000006E-2</v>
      </c>
      <c r="E51" s="337">
        <f>VLOOKUP(A51,TAUX2023,4,FALSE)</f>
        <v>8.5500000000000007E-2</v>
      </c>
      <c r="F51" s="338">
        <f t="shared" si="2"/>
        <v>270.83</v>
      </c>
      <c r="G51" s="336">
        <f t="shared" si="1"/>
        <v>335.59</v>
      </c>
    </row>
    <row r="52" spans="1:17" ht="18" customHeight="1" x14ac:dyDescent="0.25">
      <c r="A52" s="767" t="s">
        <v>40</v>
      </c>
      <c r="B52" s="721"/>
      <c r="C52" s="336">
        <f>J33</f>
        <v>6000</v>
      </c>
      <c r="D52" s="337">
        <f>VLOOKUP(A52,TAUX2023,3,FALSE)</f>
        <v>4.0000000000000001E-3</v>
      </c>
      <c r="E52" s="337">
        <f>VLOOKUP(A52,TAUX2023,4,FALSE)</f>
        <v>2.0199999999999999E-2</v>
      </c>
      <c r="F52" s="338">
        <f t="shared" si="2"/>
        <v>24</v>
      </c>
      <c r="G52" s="336">
        <f t="shared" si="1"/>
        <v>121.2</v>
      </c>
    </row>
    <row r="53" spans="1:17" ht="17.399999999999999" customHeight="1" x14ac:dyDescent="0.3">
      <c r="A53" s="767" t="s">
        <v>41</v>
      </c>
      <c r="B53" s="721"/>
      <c r="C53" s="336">
        <f>IF(J33&gt;C33,C33,J33)</f>
        <v>3925</v>
      </c>
      <c r="D53" s="344">
        <f>IF(J33&gt;C33,'TABLE DES TAUX 2025 '!E73,'TABLE DES TAUX 2025 '!C73)</f>
        <v>4.1499999999999995E-2</v>
      </c>
      <c r="E53" s="344">
        <f>IF(J33&gt;C33,'TABLE DES TAUX 2025 '!F73,'TABLE DES TAUX 2025 '!D73)</f>
        <v>6.2199999999999998E-2</v>
      </c>
      <c r="F53" s="338">
        <f t="shared" si="2"/>
        <v>162.88999999999999</v>
      </c>
      <c r="G53" s="336">
        <f t="shared" si="1"/>
        <v>244.14</v>
      </c>
      <c r="H53" s="230"/>
      <c r="I53" s="231"/>
      <c r="J53" s="232"/>
      <c r="K53" s="232"/>
      <c r="M53" s="796"/>
      <c r="N53" s="796"/>
      <c r="O53" s="796"/>
    </row>
    <row r="54" spans="1:17" ht="17.399999999999999" customHeight="1" x14ac:dyDescent="0.3">
      <c r="A54" s="767" t="s">
        <v>42</v>
      </c>
      <c r="B54" s="721"/>
      <c r="C54" s="345">
        <f>IF(J33&gt;C33,IF(J33&gt;8*C33,7*C33,J33-C33),0)</f>
        <v>2075</v>
      </c>
      <c r="D54" s="344">
        <f>IF(J33&gt;C33,'TABLE DES TAUX 2025 '!E79,0)</f>
        <v>9.8600000000000007E-2</v>
      </c>
      <c r="E54" s="346">
        <f>IF(J33&gt;C33,'TABLE DES TAUX 2025 '!F79,0)</f>
        <v>0.14779999999999999</v>
      </c>
      <c r="F54" s="338">
        <f t="shared" si="2"/>
        <v>204.6</v>
      </c>
      <c r="G54" s="336">
        <f t="shared" si="1"/>
        <v>306.69</v>
      </c>
      <c r="H54" s="230"/>
      <c r="I54" s="231"/>
      <c r="J54" s="232"/>
      <c r="K54" s="232"/>
      <c r="M54" s="797"/>
      <c r="N54" s="797"/>
      <c r="O54" s="234"/>
      <c r="P54" s="235"/>
      <c r="Q54" s="234"/>
    </row>
    <row r="55" spans="1:17" ht="17.399999999999999" hidden="1" customHeight="1" x14ac:dyDescent="0.3">
      <c r="A55" s="804"/>
      <c r="B55" s="805"/>
      <c r="C55" s="336"/>
      <c r="D55" s="346"/>
      <c r="E55" s="346">
        <f>IF(I33&gt;B32,'TABLE DES TAUX 2025 '!F78,0)</f>
        <v>0</v>
      </c>
      <c r="F55" s="338">
        <f t="shared" si="2"/>
        <v>0</v>
      </c>
      <c r="G55" s="336">
        <f t="shared" si="1"/>
        <v>0</v>
      </c>
      <c r="H55" s="230"/>
      <c r="I55" s="231"/>
      <c r="J55" s="232"/>
      <c r="K55" s="232"/>
      <c r="M55" s="233"/>
      <c r="N55" s="233"/>
      <c r="O55" s="234"/>
      <c r="P55" s="235"/>
      <c r="Q55" s="234"/>
    </row>
    <row r="56" spans="1:17" ht="17.399999999999999" hidden="1" customHeight="1" x14ac:dyDescent="0.3">
      <c r="A56" s="804"/>
      <c r="B56" s="805"/>
      <c r="C56" s="336"/>
      <c r="D56" s="346"/>
      <c r="E56" s="346">
        <f>IF(I34&gt;B33,'TABLE DES TAUX 2025 '!F79,0)</f>
        <v>0</v>
      </c>
      <c r="F56" s="338">
        <f t="shared" si="2"/>
        <v>0</v>
      </c>
      <c r="G56" s="336">
        <f t="shared" si="1"/>
        <v>0</v>
      </c>
      <c r="H56" s="230"/>
      <c r="I56" s="231"/>
      <c r="J56" s="232"/>
      <c r="K56" s="232"/>
      <c r="M56" s="233"/>
      <c r="N56" s="233"/>
      <c r="O56" s="234"/>
      <c r="P56" s="235"/>
      <c r="Q56" s="234"/>
    </row>
    <row r="57" spans="1:17" ht="17.399999999999999" customHeight="1" x14ac:dyDescent="0.3">
      <c r="A57" s="765" t="s">
        <v>43</v>
      </c>
      <c r="B57" s="766"/>
      <c r="C57" s="336"/>
      <c r="D57" s="337"/>
      <c r="E57" s="346"/>
      <c r="F57" s="338"/>
      <c r="G57" s="336"/>
      <c r="H57" s="230"/>
      <c r="I57" s="806"/>
      <c r="J57" s="806"/>
      <c r="M57" s="795"/>
      <c r="N57" s="795"/>
      <c r="P57" s="237"/>
      <c r="Q57" s="228"/>
    </row>
    <row r="58" spans="1:17" ht="18.600000000000001" customHeight="1" x14ac:dyDescent="0.3">
      <c r="A58" s="767" t="s">
        <v>256</v>
      </c>
      <c r="B58" s="721"/>
      <c r="C58" s="336">
        <f>J33</f>
        <v>6000</v>
      </c>
      <c r="D58" s="337"/>
      <c r="E58" s="310">
        <f>VLOOKUP(A58,TAUX2023,4,FALSE)</f>
        <v>3.4500000000000003E-2</v>
      </c>
      <c r="F58" s="338"/>
      <c r="G58" s="336">
        <f t="shared" si="1"/>
        <v>207</v>
      </c>
      <c r="H58" s="230"/>
      <c r="I58" s="271"/>
      <c r="J58" s="271"/>
      <c r="M58" s="236"/>
      <c r="N58" s="236"/>
      <c r="P58" s="237"/>
      <c r="Q58" s="228"/>
    </row>
    <row r="59" spans="1:17" ht="18.600000000000001" customHeight="1" x14ac:dyDescent="0.3">
      <c r="A59" s="767" t="s">
        <v>257</v>
      </c>
      <c r="B59" s="721"/>
      <c r="C59" s="336">
        <f>IF(J33&gt;3.3*B10*'TABLE DES TAUX 2025 '!D53,J33,0)</f>
        <v>6000</v>
      </c>
      <c r="D59" s="337"/>
      <c r="E59" s="310">
        <f>VLOOKUP(A59,TAUX2023,4,FALSE)</f>
        <v>1.7999999999999999E-2</v>
      </c>
      <c r="F59" s="338"/>
      <c r="G59" s="336">
        <f t="shared" si="1"/>
        <v>108</v>
      </c>
      <c r="H59" s="230"/>
      <c r="I59" s="23"/>
      <c r="J59" s="271"/>
      <c r="M59" s="236"/>
      <c r="N59" s="236"/>
      <c r="P59" s="237"/>
      <c r="Q59" s="228"/>
    </row>
    <row r="60" spans="1:17" ht="18.600000000000001" customHeight="1" x14ac:dyDescent="0.3">
      <c r="A60" s="765" t="s">
        <v>44</v>
      </c>
      <c r="B60" s="766"/>
      <c r="C60" s="340"/>
      <c r="D60" s="347"/>
      <c r="E60" s="346"/>
      <c r="F60" s="338"/>
      <c r="G60" s="336"/>
      <c r="H60" s="238"/>
      <c r="I60" s="23"/>
      <c r="J60" s="271"/>
      <c r="M60" s="795"/>
      <c r="N60" s="795"/>
      <c r="O60" s="239"/>
      <c r="Q60" s="24">
        <v>1.546</v>
      </c>
    </row>
    <row r="61" spans="1:17" ht="18" customHeight="1" x14ac:dyDescent="0.3">
      <c r="A61" s="767" t="s">
        <v>245</v>
      </c>
      <c r="B61" s="721"/>
      <c r="C61" s="341">
        <f>IF(J33&gt;C33,IF(J33&gt;4*C33,4*C33,J33),J33)</f>
        <v>6000</v>
      </c>
      <c r="D61" s="346"/>
      <c r="E61" s="577">
        <f>'BP VERSION JANVIER 2023'!E61</f>
        <v>4.3000000000000003E-2</v>
      </c>
      <c r="F61" s="338"/>
      <c r="G61" s="336">
        <f t="shared" si="1"/>
        <v>258</v>
      </c>
      <c r="H61" s="238"/>
      <c r="I61" s="23"/>
      <c r="J61" s="271"/>
      <c r="M61" s="236"/>
      <c r="N61" s="236"/>
      <c r="O61" s="239"/>
    </row>
    <row r="62" spans="1:17" ht="0.75" customHeight="1" x14ac:dyDescent="0.3">
      <c r="A62" s="767"/>
      <c r="B62" s="721"/>
      <c r="C62" s="341"/>
      <c r="D62" s="346"/>
      <c r="E62" s="348"/>
      <c r="F62" s="338">
        <f t="shared" si="2"/>
        <v>0</v>
      </c>
      <c r="G62" s="336">
        <f t="shared" si="1"/>
        <v>0</v>
      </c>
      <c r="H62" s="238"/>
      <c r="I62" s="23"/>
      <c r="J62" s="271"/>
      <c r="M62" s="236"/>
      <c r="N62" s="236"/>
      <c r="O62" s="239"/>
    </row>
    <row r="63" spans="1:17" ht="17.25" customHeight="1" x14ac:dyDescent="0.3">
      <c r="A63" s="767" t="s">
        <v>284</v>
      </c>
      <c r="B63" s="721"/>
      <c r="C63" s="341">
        <f>IF(I9=2,C61,0)</f>
        <v>6000</v>
      </c>
      <c r="D63" s="349">
        <f>VLOOKUP(A63,TAUX2023,3,FALSE)</f>
        <v>2.4000000000000001E-4</v>
      </c>
      <c r="E63" s="349">
        <f>VLOOKUP(A63,TAUX2023,4,FALSE)</f>
        <v>3.6000000000000002E-4</v>
      </c>
      <c r="F63" s="338">
        <f t="shared" si="2"/>
        <v>1.44</v>
      </c>
      <c r="G63" s="336">
        <f t="shared" si="1"/>
        <v>2.16</v>
      </c>
      <c r="H63" s="238"/>
      <c r="J63" s="42"/>
      <c r="M63" s="236"/>
      <c r="N63" s="236"/>
      <c r="O63" s="239"/>
    </row>
    <row r="64" spans="1:17" ht="26.25" customHeight="1" x14ac:dyDescent="0.3">
      <c r="A64" s="765" t="s">
        <v>45</v>
      </c>
      <c r="B64" s="766"/>
      <c r="C64" s="336"/>
      <c r="D64" s="336"/>
      <c r="E64" s="350"/>
      <c r="F64" s="338"/>
      <c r="G64" s="336">
        <f>E134</f>
        <v>324.24</v>
      </c>
      <c r="M64" s="795"/>
      <c r="N64" s="795"/>
      <c r="O64" s="230"/>
    </row>
    <row r="65" spans="1:11" ht="34.5" hidden="1" customHeight="1" x14ac:dyDescent="0.25">
      <c r="A65" s="798" t="s">
        <v>47</v>
      </c>
      <c r="B65" s="799"/>
      <c r="C65" s="351"/>
      <c r="D65" s="352"/>
      <c r="E65" s="353"/>
      <c r="F65" s="338"/>
      <c r="G65" s="336"/>
      <c r="I65" s="23"/>
      <c r="J65" s="271"/>
    </row>
    <row r="66" spans="1:11" ht="22.5" customHeight="1" x14ac:dyDescent="0.25">
      <c r="A66" s="764" t="s">
        <v>48</v>
      </c>
      <c r="B66" s="764"/>
      <c r="C66" s="345">
        <f>'HEURES SUPPLEMENTAIRES '!F136</f>
        <v>6001.88</v>
      </c>
      <c r="D66" s="354">
        <f>VLOOKUP(A66,TAUX2023,3,FALSE)</f>
        <v>6.8000000000000005E-2</v>
      </c>
      <c r="E66" s="336"/>
      <c r="F66" s="338">
        <f t="shared" si="2"/>
        <v>408.13</v>
      </c>
      <c r="G66" s="336"/>
      <c r="I66" s="23"/>
      <c r="J66" s="271"/>
    </row>
    <row r="67" spans="1:11" ht="22.2" customHeight="1" x14ac:dyDescent="0.25">
      <c r="A67" s="764" t="s">
        <v>49</v>
      </c>
      <c r="B67" s="764"/>
      <c r="C67" s="345">
        <f>C66</f>
        <v>6001.88</v>
      </c>
      <c r="D67" s="354">
        <f>VLOOKUP(A67,TAUX2023,3,FALSE)</f>
        <v>2.9000000000000001E-2</v>
      </c>
      <c r="E67" s="336"/>
      <c r="F67" s="338">
        <f t="shared" si="2"/>
        <v>174.05</v>
      </c>
      <c r="G67" s="336"/>
      <c r="I67" s="23"/>
      <c r="J67" s="271"/>
      <c r="K67" s="228"/>
    </row>
    <row r="68" spans="1:11" ht="22.5" hidden="1" customHeight="1" x14ac:dyDescent="0.25">
      <c r="A68" s="764" t="s">
        <v>248</v>
      </c>
      <c r="B68" s="764"/>
      <c r="C68" s="345">
        <f>'HEURES SUPPLEMENTAIRES '!F137</f>
        <v>0</v>
      </c>
      <c r="D68" s="354">
        <f>D66</f>
        <v>6.8000000000000005E-2</v>
      </c>
      <c r="E68" s="336"/>
      <c r="F68" s="338">
        <f t="shared" si="2"/>
        <v>0</v>
      </c>
      <c r="G68" s="336"/>
      <c r="J68" s="228"/>
      <c r="K68" s="228"/>
    </row>
    <row r="69" spans="1:11" ht="21.6" hidden="1" customHeight="1" x14ac:dyDescent="0.25">
      <c r="A69" s="764" t="s">
        <v>249</v>
      </c>
      <c r="B69" s="764"/>
      <c r="C69" s="345">
        <f>'HEURES SUPPLEMENTAIRES '!F138</f>
        <v>0</v>
      </c>
      <c r="D69" s="354">
        <f>D66</f>
        <v>6.8000000000000005E-2</v>
      </c>
      <c r="E69" s="336"/>
      <c r="F69" s="338">
        <f t="shared" si="2"/>
        <v>0</v>
      </c>
      <c r="G69" s="336"/>
      <c r="J69" s="228"/>
      <c r="K69" s="228"/>
    </row>
    <row r="70" spans="1:11" ht="27.6" hidden="1" customHeight="1" x14ac:dyDescent="0.25">
      <c r="A70" s="764" t="s">
        <v>250</v>
      </c>
      <c r="B70" s="764"/>
      <c r="C70" s="336">
        <f>+C68+C69</f>
        <v>0</v>
      </c>
      <c r="D70" s="354">
        <f>D67</f>
        <v>2.9000000000000001E-2</v>
      </c>
      <c r="E70" s="336"/>
      <c r="F70" s="338">
        <f t="shared" si="2"/>
        <v>0</v>
      </c>
      <c r="G70" s="336"/>
      <c r="J70" s="228"/>
      <c r="K70" s="228"/>
    </row>
    <row r="71" spans="1:11" ht="25.2" customHeight="1" x14ac:dyDescent="0.25">
      <c r="A71" s="765" t="s">
        <v>287</v>
      </c>
      <c r="B71" s="766"/>
      <c r="C71" s="355"/>
      <c r="D71" s="355"/>
      <c r="E71" s="356"/>
      <c r="F71" s="338">
        <f t="shared" si="2"/>
        <v>0</v>
      </c>
      <c r="G71" s="311">
        <f>-'HEURES SUPPLEMENTAIRES '!A145-'Red Gen de CoBP Format Juillet'!J16</f>
        <v>0</v>
      </c>
      <c r="J71" s="228"/>
      <c r="K71" s="228"/>
    </row>
    <row r="72" spans="1:11" ht="25.2" hidden="1" customHeight="1" x14ac:dyDescent="0.25">
      <c r="A72" s="767" t="s">
        <v>53</v>
      </c>
      <c r="B72" s="721"/>
      <c r="C72" s="336">
        <f>'HEURES SUPPLEMENTAIRES '!E57</f>
        <v>0</v>
      </c>
      <c r="D72" s="357">
        <f>+'HEURES SUPPLEMENTAIRES '!D57</f>
        <v>0.1104</v>
      </c>
      <c r="E72" s="358"/>
      <c r="F72" s="338">
        <f>-ROUND(C72*D72,2)</f>
        <v>0</v>
      </c>
      <c r="G72" s="359"/>
      <c r="J72" s="228"/>
      <c r="K72" s="228"/>
    </row>
    <row r="73" spans="1:11" ht="25.2" customHeight="1" x14ac:dyDescent="0.25">
      <c r="A73" s="767" t="s">
        <v>54</v>
      </c>
      <c r="B73" s="721"/>
      <c r="C73" s="336"/>
      <c r="D73" s="336"/>
      <c r="E73" s="350"/>
      <c r="F73" s="360">
        <f>SUM(F37:F72)</f>
        <v>1293.9399999999998</v>
      </c>
      <c r="G73" s="361">
        <f>SUM(G37:G72)</f>
        <v>2871.8999999999996</v>
      </c>
      <c r="J73" s="228"/>
    </row>
    <row r="74" spans="1:11" ht="18" customHeight="1" x14ac:dyDescent="0.25">
      <c r="A74" s="800" t="s">
        <v>258</v>
      </c>
      <c r="B74" s="801"/>
      <c r="C74" s="336"/>
      <c r="D74" s="336"/>
      <c r="E74" s="350"/>
      <c r="F74" s="350"/>
      <c r="G74" s="336"/>
      <c r="H74" s="228"/>
      <c r="I74" s="228"/>
    </row>
    <row r="75" spans="1:11" ht="21" hidden="1" customHeight="1" x14ac:dyDescent="0.25">
      <c r="A75" s="721" t="s">
        <v>259</v>
      </c>
      <c r="B75" s="716"/>
      <c r="C75" s="336">
        <f>IF(I9=1,J33,0)</f>
        <v>0</v>
      </c>
      <c r="D75" s="354">
        <f>'Masque de Saisie'!G13</f>
        <v>0</v>
      </c>
      <c r="E75" s="354">
        <f>'Masque de Saisie'!H13</f>
        <v>0</v>
      </c>
      <c r="F75" s="350">
        <f>ROUND(C75*D75,2)</f>
        <v>0</v>
      </c>
      <c r="G75" s="213">
        <f>ROUND(C75*E75,2)</f>
        <v>0</v>
      </c>
      <c r="I75" s="228"/>
    </row>
    <row r="76" spans="1:11" ht="21" hidden="1" customHeight="1" x14ac:dyDescent="0.25">
      <c r="A76" s="721" t="s">
        <v>260</v>
      </c>
      <c r="B76" s="716"/>
      <c r="C76" s="336">
        <f>IF(I9=2,J33,0)</f>
        <v>6000</v>
      </c>
      <c r="D76" s="354">
        <f>'Masque de Saisie'!G16</f>
        <v>0</v>
      </c>
      <c r="E76" s="354">
        <f>'Masque de Saisie'!H16</f>
        <v>0</v>
      </c>
      <c r="F76" s="350">
        <f>ROUND(C76*D76,2)</f>
        <v>0</v>
      </c>
      <c r="G76" s="213">
        <f>ROUND(C76*E76,2)</f>
        <v>0</v>
      </c>
      <c r="I76" s="241"/>
      <c r="J76" s="242"/>
      <c r="K76" s="241"/>
    </row>
    <row r="77" spans="1:11" ht="21" hidden="1" customHeight="1" x14ac:dyDescent="0.25">
      <c r="I77" s="241"/>
      <c r="J77" s="242"/>
      <c r="K77" s="241"/>
    </row>
    <row r="78" spans="1:11" ht="21" hidden="1" customHeight="1" x14ac:dyDescent="0.25">
      <c r="A78" s="708" t="s">
        <v>406</v>
      </c>
      <c r="B78" s="708"/>
      <c r="C78" s="336"/>
      <c r="D78" s="354">
        <f>'Masque de Saisie'!G17</f>
        <v>0</v>
      </c>
      <c r="E78" s="354">
        <f>'Masque de Saisie'!H16</f>
        <v>0</v>
      </c>
      <c r="F78" s="350">
        <f t="shared" ref="F78" si="3">ROUND(C78*D78,2)</f>
        <v>0</v>
      </c>
      <c r="G78" s="213">
        <f t="shared" ref="G78" si="4">ROUND(C78*E78,2)</f>
        <v>0</v>
      </c>
      <c r="K78" s="228"/>
    </row>
    <row r="79" spans="1:11" ht="21" customHeight="1" x14ac:dyDescent="0.25">
      <c r="A79" s="768" t="s">
        <v>231</v>
      </c>
      <c r="B79" s="769"/>
      <c r="C79" s="340"/>
      <c r="D79" s="347"/>
      <c r="E79" s="347"/>
      <c r="F79" s="362">
        <f>J33-F73-F75-F76+F83</f>
        <v>4706.0600000000004</v>
      </c>
      <c r="G79" s="340"/>
      <c r="K79" s="228"/>
    </row>
    <row r="80" spans="1:11" ht="15.6" hidden="1" customHeight="1" x14ac:dyDescent="0.25">
      <c r="A80" s="721" t="s">
        <v>261</v>
      </c>
      <c r="B80" s="716"/>
      <c r="C80" s="340"/>
      <c r="D80" s="347"/>
      <c r="E80" s="347"/>
      <c r="F80" s="340">
        <f>'Masque de Saisie'!E47*'Masque de Saisie'!E48</f>
        <v>0</v>
      </c>
      <c r="G80" s="340">
        <f>'Masque de Saisie'!E47*'Masque de Saisie'!E49</f>
        <v>0</v>
      </c>
      <c r="K80" s="228"/>
    </row>
    <row r="81" spans="1:12" ht="18.75" hidden="1" customHeight="1" x14ac:dyDescent="0.25">
      <c r="A81" s="721" t="s">
        <v>262</v>
      </c>
      <c r="B81" s="716"/>
      <c r="C81" s="340"/>
      <c r="D81" s="347"/>
      <c r="E81" s="347"/>
      <c r="F81" s="431">
        <f>'Masque de Saisie'!E50</f>
        <v>0</v>
      </c>
      <c r="G81" s="351"/>
      <c r="K81" s="228"/>
    </row>
    <row r="82" spans="1:12" ht="22.5" hidden="1" customHeight="1" x14ac:dyDescent="0.25">
      <c r="A82" s="717" t="s">
        <v>285</v>
      </c>
      <c r="B82" s="718"/>
      <c r="C82" s="304"/>
      <c r="D82" s="305"/>
      <c r="E82" s="305"/>
      <c r="F82" s="306"/>
      <c r="G82" s="306"/>
      <c r="K82" s="228"/>
    </row>
    <row r="83" spans="1:12" ht="22.2" hidden="1" customHeight="1" x14ac:dyDescent="0.25">
      <c r="A83" s="721" t="s">
        <v>802</v>
      </c>
      <c r="B83" s="716"/>
      <c r="C83" s="304"/>
      <c r="D83" s="305"/>
      <c r="E83" s="305"/>
      <c r="F83" s="495"/>
      <c r="G83" s="306"/>
      <c r="K83" s="228"/>
    </row>
    <row r="84" spans="1:12" customFormat="1" ht="23.25" customHeight="1" x14ac:dyDescent="0.3">
      <c r="A84" s="763" t="s">
        <v>64</v>
      </c>
      <c r="B84" s="763"/>
      <c r="C84" s="763"/>
      <c r="D84" s="763"/>
      <c r="E84" s="763"/>
      <c r="F84" s="763"/>
      <c r="G84" s="763"/>
      <c r="H84" s="763"/>
      <c r="I84" s="763"/>
      <c r="J84" s="802">
        <f>J33-F73-F75-F76-F44-F78-F80+F81-F82+F83</f>
        <v>4706.0600000000004</v>
      </c>
      <c r="K84" s="803"/>
      <c r="L84" s="803"/>
    </row>
    <row r="85" spans="1:12" customFormat="1" ht="18" customHeight="1" x14ac:dyDescent="0.3">
      <c r="A85" s="763" t="s">
        <v>232</v>
      </c>
      <c r="B85" s="763"/>
      <c r="C85" s="763"/>
      <c r="D85" s="763"/>
      <c r="E85" s="763"/>
      <c r="F85" s="763"/>
      <c r="G85" s="763"/>
      <c r="H85" s="763"/>
      <c r="I85" s="763"/>
      <c r="J85" s="802">
        <f>'HEURES SUPPLEMENTAIRES '!E100</f>
        <v>4928.1100000000006</v>
      </c>
      <c r="K85" s="803"/>
      <c r="L85" s="803"/>
    </row>
    <row r="86" spans="1:12" customFormat="1" ht="23.25" customHeight="1" x14ac:dyDescent="0.3">
      <c r="A86" s="792" t="s">
        <v>233</v>
      </c>
      <c r="B86" s="792"/>
      <c r="C86" s="792"/>
      <c r="D86" s="792"/>
      <c r="E86" s="792"/>
      <c r="F86" s="792"/>
      <c r="G86" s="792"/>
      <c r="H86" s="792"/>
      <c r="I86" s="792"/>
      <c r="J86" s="794">
        <f>'HEURES SUPPLEMENTAIRES '!E57-F68</f>
        <v>0</v>
      </c>
      <c r="K86" s="794"/>
      <c r="L86" s="68"/>
    </row>
    <row r="87" spans="1:12" customFormat="1" ht="23.25" customHeight="1" x14ac:dyDescent="0.3">
      <c r="A87" s="792" t="s">
        <v>321</v>
      </c>
      <c r="B87" s="792"/>
      <c r="C87" s="792"/>
      <c r="D87" s="792"/>
      <c r="E87" s="792"/>
      <c r="F87" s="792"/>
      <c r="G87" s="792"/>
      <c r="H87" s="792"/>
      <c r="I87" s="792"/>
      <c r="J87" s="499">
        <f>'HEURES SUPPLEMENTAIRES '!G57</f>
        <v>0</v>
      </c>
      <c r="K87" s="500"/>
      <c r="L87" s="501"/>
    </row>
    <row r="88" spans="1:12" customFormat="1" ht="23.25" customHeight="1" x14ac:dyDescent="0.3">
      <c r="A88" s="776" t="s">
        <v>234</v>
      </c>
      <c r="B88" s="777"/>
      <c r="C88" s="778"/>
      <c r="D88" s="752" t="s">
        <v>59</v>
      </c>
      <c r="E88" s="752"/>
      <c r="F88" s="752" t="s">
        <v>66</v>
      </c>
      <c r="G88" s="752"/>
      <c r="H88" s="363" t="s">
        <v>60</v>
      </c>
      <c r="I88" s="65"/>
      <c r="J88" s="793" t="s">
        <v>320</v>
      </c>
      <c r="K88" s="793"/>
      <c r="L88" s="58"/>
    </row>
    <row r="89" spans="1:12" customFormat="1" ht="20.25" customHeight="1" x14ac:dyDescent="0.3">
      <c r="A89" s="779"/>
      <c r="B89" s="780"/>
      <c r="C89" s="781"/>
      <c r="D89" s="782">
        <f>J85</f>
        <v>4928.1100000000006</v>
      </c>
      <c r="E89" s="783"/>
      <c r="F89" s="784">
        <f>'TAUX NEUTRE '!H12</f>
        <v>0.158</v>
      </c>
      <c r="G89" s="785"/>
      <c r="H89" s="364">
        <f>ROUND(D89*F89,2)</f>
        <v>778.64</v>
      </c>
      <c r="I89" s="65"/>
      <c r="J89" s="58"/>
      <c r="K89" s="58"/>
      <c r="L89" s="58"/>
    </row>
    <row r="90" spans="1:12" customFormat="1" ht="14.4" x14ac:dyDescent="0.3">
      <c r="A90" s="774" t="s">
        <v>286</v>
      </c>
      <c r="B90" s="774"/>
      <c r="C90" s="774"/>
      <c r="D90" s="774"/>
      <c r="E90" s="774"/>
      <c r="F90" s="774"/>
      <c r="G90" s="774"/>
      <c r="H90" s="774"/>
      <c r="I90" s="774"/>
      <c r="J90" s="775">
        <f>J84-H89</f>
        <v>3927.4200000000005</v>
      </c>
      <c r="K90" s="775"/>
      <c r="L90" s="775"/>
    </row>
    <row r="91" spans="1:12" customFormat="1" ht="14.4" x14ac:dyDescent="0.3">
      <c r="A91" s="786" t="s">
        <v>288</v>
      </c>
      <c r="B91" s="787"/>
      <c r="C91" s="787"/>
      <c r="D91" s="787"/>
      <c r="E91" s="787"/>
      <c r="F91" s="787"/>
      <c r="G91" s="787"/>
      <c r="H91" s="787"/>
      <c r="I91" s="788"/>
      <c r="J91" s="772">
        <f>-G71+IF(C59=0,J33*1.8%,0) +IF(C38=0,J33*6%,0)</f>
        <v>0</v>
      </c>
      <c r="K91" s="773"/>
      <c r="L91" s="773"/>
    </row>
    <row r="92" spans="1:12" customFormat="1" ht="14.4" x14ac:dyDescent="0.3">
      <c r="A92" s="774" t="s">
        <v>57</v>
      </c>
      <c r="B92" s="774"/>
      <c r="C92" s="774"/>
      <c r="D92" s="774"/>
      <c r="E92" s="774"/>
      <c r="F92" s="774"/>
      <c r="G92" s="774"/>
      <c r="H92" s="774"/>
      <c r="I92" s="774"/>
      <c r="J92" s="775">
        <f>G73+J33+G75+G76+G44+G78</f>
        <v>8930.7799999999988</v>
      </c>
      <c r="K92" s="773"/>
      <c r="L92" s="773"/>
    </row>
    <row r="93" spans="1:12" customFormat="1" ht="14.4" x14ac:dyDescent="0.3">
      <c r="A93" s="62"/>
      <c r="B93" s="70" t="s">
        <v>63</v>
      </c>
      <c r="C93" s="70" t="s">
        <v>289</v>
      </c>
      <c r="D93" s="770" t="s">
        <v>291</v>
      </c>
      <c r="E93" s="771"/>
      <c r="F93" s="770" t="s">
        <v>292</v>
      </c>
      <c r="G93" s="771"/>
      <c r="H93" s="365"/>
      <c r="I93" s="365"/>
      <c r="J93" s="179"/>
      <c r="K93" s="366"/>
      <c r="L93" s="366"/>
    </row>
    <row r="94" spans="1:12" customFormat="1" ht="21" customHeight="1" x14ac:dyDescent="0.3">
      <c r="A94" s="367" t="s">
        <v>290</v>
      </c>
      <c r="B94" s="66">
        <f>H89</f>
        <v>778.64</v>
      </c>
      <c r="C94" s="66"/>
      <c r="D94" s="70" t="s">
        <v>107</v>
      </c>
      <c r="E94" s="66"/>
      <c r="F94" s="70" t="s">
        <v>315</v>
      </c>
      <c r="G94" s="66"/>
      <c r="H94" s="70"/>
      <c r="I94" s="365"/>
      <c r="J94" s="179"/>
      <c r="K94" s="366"/>
      <c r="L94" s="366"/>
    </row>
    <row r="95" spans="1:12" customFormat="1" ht="21" customHeight="1" x14ac:dyDescent="0.3">
      <c r="A95" s="368" t="s">
        <v>294</v>
      </c>
      <c r="B95" s="370">
        <f>C72</f>
        <v>0</v>
      </c>
      <c r="C95" s="370"/>
      <c r="D95" s="70" t="s">
        <v>100</v>
      </c>
      <c r="E95" s="66"/>
      <c r="F95" s="70" t="s">
        <v>247</v>
      </c>
      <c r="G95" s="66"/>
      <c r="H95" s="365"/>
      <c r="I95" s="365"/>
      <c r="J95" s="179"/>
      <c r="K95" s="366"/>
      <c r="L95" s="366"/>
    </row>
    <row r="96" spans="1:12" customFormat="1" ht="17.25" customHeight="1" x14ac:dyDescent="0.3">
      <c r="A96" s="369" t="s">
        <v>185</v>
      </c>
      <c r="B96" s="370">
        <f>J33</f>
        <v>6000</v>
      </c>
      <c r="C96" s="370"/>
      <c r="D96" s="70" t="s">
        <v>246</v>
      </c>
      <c r="E96" s="66"/>
      <c r="F96" s="70" t="s">
        <v>246</v>
      </c>
      <c r="G96" s="66"/>
      <c r="H96" s="365"/>
      <c r="I96" s="365"/>
      <c r="J96" s="179"/>
      <c r="K96" s="366"/>
      <c r="L96" s="366"/>
    </row>
    <row r="97" spans="1:12" customFormat="1" ht="17.25" customHeight="1" x14ac:dyDescent="0.3">
      <c r="A97" s="369" t="s">
        <v>61</v>
      </c>
      <c r="B97" s="370">
        <f>+J85</f>
        <v>4928.1100000000006</v>
      </c>
      <c r="C97" s="370"/>
      <c r="D97" s="365"/>
      <c r="E97" s="365"/>
      <c r="F97" s="365"/>
      <c r="G97" s="365"/>
      <c r="H97" s="365"/>
      <c r="I97" s="365"/>
      <c r="J97" s="179"/>
      <c r="K97" s="366"/>
      <c r="L97" s="366"/>
    </row>
    <row r="98" spans="1:12" customFormat="1" ht="15" customHeight="1" x14ac:dyDescent="0.3">
      <c r="A98" s="742" t="s">
        <v>58</v>
      </c>
      <c r="B98" s="742"/>
      <c r="C98" s="742"/>
      <c r="D98" s="742"/>
      <c r="E98" s="742"/>
      <c r="F98" s="23"/>
      <c r="G98" s="23"/>
      <c r="H98" s="23"/>
      <c r="I98" s="23"/>
      <c r="J98" s="23"/>
      <c r="K98" s="23"/>
      <c r="L98" s="23"/>
    </row>
    <row r="99" spans="1:12" s="23" customFormat="1" ht="12" customHeight="1" x14ac:dyDescent="0.2">
      <c r="A99" s="43" t="s">
        <v>62</v>
      </c>
    </row>
    <row r="100" spans="1:12" s="23" customFormat="1" ht="12" customHeight="1" x14ac:dyDescent="0.2">
      <c r="A100" s="23" t="s">
        <v>322</v>
      </c>
    </row>
    <row r="101" spans="1:12" s="23" customFormat="1" ht="12" hidden="1" customHeight="1" x14ac:dyDescent="0.2">
      <c r="A101" s="43"/>
    </row>
    <row r="102" spans="1:12" s="23" customFormat="1" ht="12" hidden="1" customHeight="1" x14ac:dyDescent="0.25">
      <c r="A102" s="246" t="s">
        <v>96</v>
      </c>
      <c r="B102" s="247"/>
      <c r="C102" s="248">
        <v>7.4999999999999997E-3</v>
      </c>
      <c r="D102" s="240">
        <f>ROUND(J33*C102,2)</f>
        <v>45</v>
      </c>
      <c r="E102" s="227"/>
      <c r="F102" s="249"/>
      <c r="G102" s="226"/>
      <c r="H102" s="24"/>
      <c r="I102" s="24"/>
    </row>
    <row r="103" spans="1:12" ht="30.75" hidden="1" customHeight="1" x14ac:dyDescent="0.25">
      <c r="A103" s="246" t="s">
        <v>97</v>
      </c>
      <c r="B103" s="247"/>
      <c r="C103" s="250">
        <f>(2.4-0.95)%</f>
        <v>1.4499999999999999E-2</v>
      </c>
      <c r="D103" s="240">
        <f>ROUND(C61*C103,2)</f>
        <v>87</v>
      </c>
      <c r="F103" s="245"/>
    </row>
    <row r="104" spans="1:12" ht="30.75" hidden="1" customHeight="1" x14ac:dyDescent="0.25">
      <c r="A104" s="251" t="s">
        <v>251</v>
      </c>
      <c r="B104" s="247"/>
      <c r="D104" s="227">
        <f>D102+D103</f>
        <v>132</v>
      </c>
      <c r="F104" s="245"/>
    </row>
    <row r="105" spans="1:12" ht="30.75" hidden="1" customHeight="1" x14ac:dyDescent="0.25">
      <c r="A105" s="246" t="s">
        <v>252</v>
      </c>
      <c r="C105" s="227"/>
      <c r="F105" s="252"/>
    </row>
    <row r="106" spans="1:12" ht="30.75" hidden="1" customHeight="1" x14ac:dyDescent="0.25">
      <c r="A106" s="246"/>
      <c r="C106" s="227"/>
      <c r="F106" s="252"/>
    </row>
    <row r="107" spans="1:12" ht="30.75" hidden="1" customHeight="1" x14ac:dyDescent="0.25">
      <c r="A107" s="246" t="s">
        <v>98</v>
      </c>
      <c r="B107" s="253"/>
      <c r="C107" s="240">
        <v>1.7000000000000001E-2</v>
      </c>
      <c r="D107" s="240">
        <f>ROUND(C66*C107,2)</f>
        <v>102.03</v>
      </c>
      <c r="F107" s="252"/>
    </row>
    <row r="108" spans="1:12" ht="30.75" hidden="1" customHeight="1" x14ac:dyDescent="0.25">
      <c r="A108" s="254"/>
      <c r="B108" s="255"/>
      <c r="C108" s="256"/>
      <c r="D108" s="256"/>
      <c r="E108" s="256"/>
      <c r="F108" s="257"/>
    </row>
    <row r="109" spans="1:12" ht="30.75" hidden="1" customHeight="1" x14ac:dyDescent="0.25">
      <c r="A109" s="258" t="s">
        <v>253</v>
      </c>
      <c r="B109" s="259"/>
      <c r="C109" s="260"/>
      <c r="D109" s="260"/>
      <c r="E109" s="260"/>
      <c r="F109" s="261"/>
    </row>
    <row r="110" spans="1:12" ht="30.75" hidden="1" customHeight="1" x14ac:dyDescent="0.25">
      <c r="A110" s="243"/>
      <c r="B110" s="244"/>
      <c r="C110" s="262"/>
      <c r="F110" s="263"/>
    </row>
    <row r="111" spans="1:12" ht="30.75" hidden="1" customHeight="1" x14ac:dyDescent="0.25">
      <c r="A111" s="246" t="s">
        <v>96</v>
      </c>
      <c r="B111" s="247"/>
      <c r="C111" s="248">
        <v>7.4999999999999997E-3</v>
      </c>
      <c r="D111" s="240">
        <f>ROUND(J33*C111,2)</f>
        <v>45</v>
      </c>
      <c r="E111" s="226"/>
      <c r="F111" s="245"/>
    </row>
    <row r="112" spans="1:12" ht="30.75" hidden="1" customHeight="1" x14ac:dyDescent="0.25">
      <c r="A112" s="246" t="s">
        <v>97</v>
      </c>
      <c r="B112" s="247"/>
      <c r="C112" s="250">
        <f>(2.4)%</f>
        <v>2.4E-2</v>
      </c>
      <c r="D112" s="240">
        <f>ROUND(C61*C112,2)</f>
        <v>144</v>
      </c>
      <c r="E112" s="264"/>
      <c r="F112" s="245"/>
    </row>
    <row r="113" spans="1:18" ht="30.75" hidden="1" customHeight="1" x14ac:dyDescent="0.25">
      <c r="A113" s="251" t="s">
        <v>254</v>
      </c>
      <c r="B113" s="247"/>
      <c r="E113" s="264"/>
      <c r="F113" s="245"/>
    </row>
    <row r="114" spans="1:18" ht="30.75" hidden="1" customHeight="1" x14ac:dyDescent="0.25">
      <c r="A114" s="246" t="s">
        <v>252</v>
      </c>
      <c r="C114" s="227"/>
      <c r="E114" s="265">
        <f>D112+D111-D116</f>
        <v>86.97</v>
      </c>
      <c r="F114" s="245"/>
    </row>
    <row r="115" spans="1:18" ht="30.75" hidden="1" customHeight="1" x14ac:dyDescent="0.25">
      <c r="A115" s="246"/>
      <c r="C115" s="227"/>
      <c r="E115" s="264"/>
      <c r="F115" s="245"/>
    </row>
    <row r="116" spans="1:18" ht="30.75" hidden="1" customHeight="1" x14ac:dyDescent="0.25">
      <c r="A116" s="246" t="s">
        <v>98</v>
      </c>
      <c r="B116" s="253"/>
      <c r="C116" s="240">
        <v>1.7000000000000001E-2</v>
      </c>
      <c r="D116" s="240">
        <f>ROUND(C66*C116,2)</f>
        <v>102.03</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90</v>
      </c>
    </row>
    <row r="120" spans="1:18" ht="30.75" customHeight="1" x14ac:dyDescent="0.3">
      <c r="A120" s="37" t="s">
        <v>263</v>
      </c>
      <c r="B120" s="307" t="s">
        <v>264</v>
      </c>
      <c r="C120" s="307" t="s">
        <v>226</v>
      </c>
      <c r="D120" s="307" t="s">
        <v>265</v>
      </c>
      <c r="E120" s="307" t="s">
        <v>266</v>
      </c>
      <c r="F120" s="185"/>
      <c r="G120" s="25"/>
      <c r="H120" s="25"/>
      <c r="I120" s="25"/>
    </row>
    <row r="121" spans="1:18" customFormat="1" ht="15.6" x14ac:dyDescent="0.3">
      <c r="A121" s="187"/>
      <c r="B121" s="58"/>
      <c r="C121" s="195" t="s">
        <v>31</v>
      </c>
      <c r="D121" s="195" t="s">
        <v>293</v>
      </c>
      <c r="E121" s="195" t="s">
        <v>101</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5">ROUND(C122*D122,2)</f>
        <v>0</v>
      </c>
      <c r="H122" s="25"/>
      <c r="I122" s="25"/>
      <c r="J122" s="25"/>
      <c r="K122" s="25"/>
      <c r="L122" s="25"/>
      <c r="M122" s="27"/>
      <c r="N122" s="27"/>
      <c r="O122" s="27"/>
      <c r="P122" s="27"/>
      <c r="Q122" s="27"/>
      <c r="R122" s="27"/>
    </row>
    <row r="123" spans="1:18" customFormat="1" ht="15.6" x14ac:dyDescent="0.3">
      <c r="A123" s="740" t="s">
        <v>93</v>
      </c>
      <c r="B123" s="741"/>
      <c r="C123" s="44">
        <f>IF(B9&lt;50,IF(J33&gt;C33,C33,J33),0)</f>
        <v>3925</v>
      </c>
      <c r="D123" s="51">
        <f>'TABLE DES TAUX 2025 '!E26</f>
        <v>1E-3</v>
      </c>
      <c r="E123" s="44">
        <f t="shared" si="5"/>
        <v>3.93</v>
      </c>
      <c r="G123" s="557"/>
      <c r="H123" s="25"/>
      <c r="I123" s="25"/>
      <c r="J123" s="25"/>
      <c r="K123" s="25"/>
      <c r="L123" s="25"/>
      <c r="M123" s="27"/>
      <c r="N123" s="27"/>
      <c r="O123" s="27"/>
      <c r="P123" s="27"/>
      <c r="Q123" s="27"/>
      <c r="R123" s="27"/>
    </row>
    <row r="124" spans="1:18" customFormat="1" ht="15.6" x14ac:dyDescent="0.3">
      <c r="A124" s="740" t="s">
        <v>94</v>
      </c>
      <c r="B124" s="741"/>
      <c r="C124" s="44">
        <f>IF(B9&gt;=50,J33,0)</f>
        <v>0</v>
      </c>
      <c r="D124" s="51">
        <f>'TABLE DES TAUX 2025 '!E27</f>
        <v>5.0000000000000001E-3</v>
      </c>
      <c r="E124" s="44">
        <f t="shared" si="5"/>
        <v>0</v>
      </c>
      <c r="G124" s="558"/>
      <c r="H124" s="25"/>
      <c r="I124" s="25"/>
      <c r="J124" s="25"/>
      <c r="K124" s="25"/>
      <c r="L124" s="25"/>
      <c r="M124" s="27"/>
      <c r="N124" s="27"/>
      <c r="O124" s="27"/>
      <c r="P124" s="27"/>
      <c r="Q124" s="27"/>
      <c r="R124" s="27"/>
    </row>
    <row r="125" spans="1:18" customFormat="1" ht="15.6" x14ac:dyDescent="0.3">
      <c r="A125" s="740" t="s">
        <v>283</v>
      </c>
      <c r="B125" s="741"/>
      <c r="C125" s="44">
        <f>IF(B9&gt;=11,J33,0)</f>
        <v>6000</v>
      </c>
      <c r="D125" s="51">
        <f>'Masque de Saisie'!H22</f>
        <v>3.2000000000000001E-2</v>
      </c>
      <c r="E125" s="44">
        <f t="shared" si="5"/>
        <v>192</v>
      </c>
      <c r="G125" s="557"/>
      <c r="H125" s="25"/>
      <c r="I125" s="25"/>
      <c r="J125" s="25"/>
      <c r="K125" s="25"/>
      <c r="L125" s="25"/>
      <c r="M125" s="27"/>
      <c r="N125" s="27"/>
      <c r="O125" s="27"/>
      <c r="P125" s="27"/>
      <c r="Q125" s="27"/>
      <c r="R125" s="27"/>
    </row>
    <row r="126" spans="1:18" customFormat="1" ht="15.6" x14ac:dyDescent="0.3">
      <c r="A126" s="755" t="s">
        <v>72</v>
      </c>
      <c r="B126" s="756"/>
      <c r="C126" s="44">
        <f>J33</f>
        <v>6000</v>
      </c>
      <c r="D126" s="51">
        <f>'TABLE DES TAUX 2025 '!E29</f>
        <v>3.0000000000000001E-3</v>
      </c>
      <c r="E126" s="44">
        <f t="shared" si="5"/>
        <v>18</v>
      </c>
      <c r="H126" s="25"/>
      <c r="I126" s="25"/>
      <c r="J126" s="25"/>
      <c r="K126" s="25"/>
      <c r="L126" s="25"/>
      <c r="M126" s="27"/>
      <c r="N126" s="27"/>
      <c r="O126" s="27"/>
      <c r="P126" s="27"/>
      <c r="Q126" s="27"/>
      <c r="R126" s="27"/>
    </row>
    <row r="127" spans="1:18" customFormat="1" ht="15.6" x14ac:dyDescent="0.3">
      <c r="A127" s="740" t="s">
        <v>91</v>
      </c>
      <c r="B127" s="741"/>
      <c r="C127" s="44">
        <f>IF(B9&gt;=11, IF(I9=2,G43+G44+G76,G40+G75),0)</f>
        <v>106.88</v>
      </c>
      <c r="D127" s="51">
        <f>'TABLE DES TAUX 2025 '!E30</f>
        <v>0.08</v>
      </c>
      <c r="E127" s="44">
        <f t="shared" si="5"/>
        <v>8.5500000000000007</v>
      </c>
      <c r="H127" s="27"/>
      <c r="I127" s="27"/>
      <c r="J127" s="25"/>
      <c r="K127" s="25"/>
      <c r="L127" s="25"/>
      <c r="M127" s="27"/>
      <c r="N127" s="27"/>
      <c r="O127" s="27"/>
      <c r="P127" s="27"/>
      <c r="Q127" s="27"/>
      <c r="R127" s="27"/>
    </row>
    <row r="128" spans="1:18" customFormat="1" ht="17.25" customHeight="1" x14ac:dyDescent="0.3">
      <c r="A128" s="756" t="s">
        <v>227</v>
      </c>
      <c r="B128" s="760"/>
      <c r="C128" s="44">
        <f>G78</f>
        <v>0</v>
      </c>
      <c r="D128" s="51">
        <f>'TABLE DES TAUX 2025 '!E31</f>
        <v>0.2</v>
      </c>
      <c r="E128" s="44">
        <f t="shared" si="5"/>
        <v>0</v>
      </c>
      <c r="H128" s="27"/>
      <c r="I128" s="27"/>
      <c r="J128" s="27"/>
      <c r="K128" s="27"/>
      <c r="L128" s="27"/>
      <c r="M128" s="27"/>
      <c r="N128" s="27"/>
      <c r="O128" s="27"/>
      <c r="P128" s="27"/>
      <c r="Q128" s="27"/>
      <c r="R128" s="27"/>
    </row>
    <row r="129" spans="1:18" customFormat="1" ht="18" customHeight="1" x14ac:dyDescent="0.3">
      <c r="A129" s="755" t="s">
        <v>73</v>
      </c>
      <c r="B129" s="756"/>
      <c r="C129" s="44">
        <f>C125</f>
        <v>6000</v>
      </c>
      <c r="D129" s="51">
        <f>'TABLE DES TAUX 2025 '!E32</f>
        <v>1.6000000000000001E-4</v>
      </c>
      <c r="E129" s="44">
        <f t="shared" ref="E129:E133" si="6">ROUND(C129*D129,2)</f>
        <v>0.96</v>
      </c>
      <c r="H129" s="27"/>
      <c r="I129" s="27"/>
      <c r="J129" s="27"/>
      <c r="K129" s="27"/>
      <c r="L129" s="27"/>
      <c r="M129" s="27"/>
      <c r="N129" s="27"/>
      <c r="O129" s="27"/>
      <c r="P129" s="27"/>
      <c r="Q129" s="27"/>
      <c r="R129" s="27"/>
    </row>
    <row r="130" spans="1:18" customFormat="1" ht="16.5" customHeight="1" x14ac:dyDescent="0.3">
      <c r="A130" s="755" t="s">
        <v>78</v>
      </c>
      <c r="B130" s="756"/>
      <c r="C130" s="44">
        <f>C126</f>
        <v>6000</v>
      </c>
      <c r="D130" s="51">
        <f>'TABLE DES TAUX 2025 '!E33</f>
        <v>6.7999999999999996E-3</v>
      </c>
      <c r="E130" s="44">
        <f t="shared" si="6"/>
        <v>40.799999999999997</v>
      </c>
      <c r="H130" s="27"/>
      <c r="I130" s="27"/>
      <c r="J130" s="27"/>
      <c r="K130" s="27"/>
      <c r="L130" s="27"/>
      <c r="M130" s="27"/>
      <c r="N130" s="27"/>
      <c r="O130" s="27"/>
      <c r="P130" s="27"/>
      <c r="Q130" s="27"/>
      <c r="R130" s="27"/>
    </row>
    <row r="131" spans="1:18" customFormat="1" ht="15.6" x14ac:dyDescent="0.3">
      <c r="A131" s="755" t="s">
        <v>79</v>
      </c>
      <c r="B131" s="756"/>
      <c r="C131" s="44">
        <f>IF(B9&lt;11,0,J33)</f>
        <v>6000</v>
      </c>
      <c r="D131" s="51">
        <f>'TABLE DES TAUX 2025 '!E34</f>
        <v>0.01</v>
      </c>
      <c r="E131" s="44">
        <f>ROUND(C131*D131,2)</f>
        <v>60</v>
      </c>
      <c r="H131" s="27"/>
      <c r="I131" s="27"/>
      <c r="J131" s="27"/>
      <c r="K131" s="27"/>
      <c r="L131" s="27"/>
      <c r="M131" s="27"/>
      <c r="N131" s="27"/>
      <c r="O131" s="27"/>
      <c r="P131" s="27"/>
      <c r="Q131" s="27"/>
      <c r="R131" s="27"/>
    </row>
    <row r="132" spans="1:18" customFormat="1" ht="15.6" x14ac:dyDescent="0.3">
      <c r="A132" s="755" t="s">
        <v>79</v>
      </c>
      <c r="B132" s="756"/>
      <c r="C132" s="44">
        <f>IF(B9&gt;=11,0,J33)</f>
        <v>0</v>
      </c>
      <c r="D132" s="51">
        <f>'TABLE DES TAUX 2025 '!E35</f>
        <v>5.4999999999999997E-3</v>
      </c>
      <c r="E132" s="44">
        <f t="shared" si="6"/>
        <v>0</v>
      </c>
      <c r="H132" s="27"/>
      <c r="I132" s="27"/>
      <c r="J132" s="27"/>
      <c r="K132" s="27"/>
      <c r="L132" s="27"/>
      <c r="M132" s="27"/>
      <c r="N132" s="27"/>
      <c r="O132" s="27"/>
      <c r="P132" s="27"/>
      <c r="Q132" s="27"/>
      <c r="R132" s="27"/>
    </row>
    <row r="133" spans="1:18" customFormat="1" ht="15.6" x14ac:dyDescent="0.3">
      <c r="A133" s="755" t="s">
        <v>84</v>
      </c>
      <c r="B133" s="756"/>
      <c r="C133" s="44">
        <f>IF(B9&lt;50,0,J33)</f>
        <v>0</v>
      </c>
      <c r="D133" s="51">
        <f>'TABLE DES TAUX 2025 '!E36</f>
        <v>4.4999999999999997E-3</v>
      </c>
      <c r="E133" s="44">
        <f t="shared" si="6"/>
        <v>0</v>
      </c>
      <c r="H133" s="27"/>
      <c r="I133" s="27"/>
      <c r="J133" s="27"/>
      <c r="K133" s="27"/>
      <c r="L133" s="27"/>
      <c r="M133" s="27"/>
      <c r="N133" s="27"/>
      <c r="O133" s="27"/>
      <c r="P133" s="27"/>
      <c r="Q133" s="27"/>
      <c r="R133" s="27"/>
    </row>
    <row r="134" spans="1:18" customFormat="1" ht="15.6" x14ac:dyDescent="0.3">
      <c r="A134" s="27"/>
      <c r="B134" s="27"/>
      <c r="D134" s="27"/>
      <c r="E134" s="44">
        <f>SUM(E123:E133)</f>
        <v>324.24</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5:F15"/>
    <mergeCell ref="A16:F16"/>
    <mergeCell ref="A17:F17"/>
    <mergeCell ref="A18:F18"/>
    <mergeCell ref="A22:F22"/>
    <mergeCell ref="A23:F23"/>
    <mergeCell ref="A14:F14"/>
    <mergeCell ref="A13:F1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20" zoomScale="125" zoomScaleNormal="130" workbookViewId="0">
      <selection activeCell="E40" sqref="E40"/>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119</v>
      </c>
    </row>
    <row r="2" spans="1:16" s="65" customFormat="1" ht="26.25" hidden="1" customHeight="1" x14ac:dyDescent="0.2">
      <c r="A2" s="70" t="s">
        <v>89</v>
      </c>
      <c r="B2" s="70" t="s">
        <v>120</v>
      </c>
      <c r="C2" s="70" t="s">
        <v>121</v>
      </c>
      <c r="D2" s="70" t="s">
        <v>122</v>
      </c>
      <c r="E2" s="70" t="s">
        <v>123</v>
      </c>
      <c r="F2" s="70"/>
      <c r="G2" s="70"/>
      <c r="H2" s="70"/>
      <c r="I2" s="70"/>
      <c r="J2" s="70"/>
      <c r="K2" s="70" t="s">
        <v>124</v>
      </c>
      <c r="L2" s="70" t="s">
        <v>125</v>
      </c>
      <c r="M2" s="70" t="s">
        <v>126</v>
      </c>
      <c r="N2" s="70" t="s">
        <v>127</v>
      </c>
      <c r="O2" s="70" t="s">
        <v>128</v>
      </c>
      <c r="P2" s="70" t="s">
        <v>129</v>
      </c>
    </row>
    <row r="3" spans="1:16" s="58" customFormat="1" ht="20.25" hidden="1" customHeight="1" x14ac:dyDescent="0.25">
      <c r="A3" s="66" t="s">
        <v>108</v>
      </c>
      <c r="B3" s="71">
        <v>4910.7999999999993</v>
      </c>
      <c r="C3" s="72">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130</v>
      </c>
      <c r="B4" s="71">
        <v>0</v>
      </c>
      <c r="C4" s="72">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109</v>
      </c>
      <c r="B5" s="71" t="e">
        <v>#DIV/0!</v>
      </c>
      <c r="C5" s="72">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131</v>
      </c>
      <c r="B6" s="71" t="e">
        <v>#DIV/0!</v>
      </c>
      <c r="C6" s="72">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112</v>
      </c>
      <c r="B7" s="71" t="e">
        <v>#DIV/0!</v>
      </c>
      <c r="C7" s="72">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110</v>
      </c>
      <c r="B8" s="71" t="e">
        <v>#DIV/0!</v>
      </c>
      <c r="C8" s="72">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113</v>
      </c>
      <c r="B9" s="71" t="e">
        <v>#DIV/0!</v>
      </c>
      <c r="C9" s="72">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114</v>
      </c>
      <c r="B10" s="71" t="e">
        <v>#DIV/0!</v>
      </c>
      <c r="C10" s="72">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115</v>
      </c>
      <c r="B11" s="71" t="e">
        <v>#DIV/0!</v>
      </c>
      <c r="C11" s="72">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111</v>
      </c>
      <c r="B12" s="71" t="e">
        <v>#DIV/0!</v>
      </c>
      <c r="C12" s="72">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116</v>
      </c>
      <c r="B13" s="71" t="e">
        <v>#DIV/0!</v>
      </c>
      <c r="C13" s="72">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117</v>
      </c>
      <c r="B14" s="71" t="e">
        <v>#DIV/0!</v>
      </c>
      <c r="C14" s="72">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v>#DIV/0!</v>
      </c>
      <c r="C15" s="75">
        <v>0</v>
      </c>
      <c r="D15" s="60"/>
    </row>
    <row r="16" spans="1:16" ht="20.25" hidden="1" customHeight="1" x14ac:dyDescent="0.3"/>
    <row r="17" spans="1:18" ht="20.25" hidden="1" customHeight="1" x14ac:dyDescent="0.3"/>
    <row r="18" spans="1:18" ht="20.25" hidden="1" customHeight="1" x14ac:dyDescent="0.3">
      <c r="A18" t="s">
        <v>132</v>
      </c>
    </row>
    <row r="19" spans="1:18" s="58" customFormat="1" ht="20.25" hidden="1" customHeight="1" x14ac:dyDescent="0.25">
      <c r="A19" s="829" t="s">
        <v>133</v>
      </c>
      <c r="B19" s="829"/>
      <c r="C19" s="829"/>
      <c r="D19" s="829"/>
      <c r="E19" s="829"/>
      <c r="F19" s="829"/>
      <c r="G19" s="829"/>
      <c r="H19" s="829"/>
      <c r="I19" s="829"/>
      <c r="J19" s="829"/>
      <c r="K19" s="829"/>
      <c r="L19" s="829"/>
      <c r="M19" s="829"/>
      <c r="N19" s="837"/>
      <c r="O19" s="837"/>
      <c r="P19" s="837"/>
      <c r="Q19" s="837"/>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27" t="s">
        <v>200</v>
      </c>
      <c r="C21" s="827"/>
      <c r="D21" s="827"/>
      <c r="E21" s="827"/>
      <c r="F21" s="827"/>
      <c r="G21" s="827"/>
      <c r="H21" s="827"/>
      <c r="I21" s="827"/>
      <c r="J21" s="76"/>
      <c r="N21" s="838"/>
      <c r="O21" s="838"/>
      <c r="P21" s="838"/>
      <c r="Q21" s="838"/>
    </row>
    <row r="22" spans="1:18" s="58" customFormat="1" ht="20.25" hidden="1" customHeight="1" x14ac:dyDescent="0.25">
      <c r="A22" s="77" t="s">
        <v>134</v>
      </c>
      <c r="B22" s="77" t="s">
        <v>135</v>
      </c>
      <c r="C22" s="77" t="s">
        <v>136</v>
      </c>
      <c r="D22" s="77" t="s">
        <v>137</v>
      </c>
      <c r="E22" s="77" t="s">
        <v>138</v>
      </c>
      <c r="F22" s="77"/>
      <c r="G22" s="77"/>
      <c r="H22" s="77"/>
      <c r="I22" s="77"/>
      <c r="J22" s="77"/>
      <c r="K22" s="77" t="s">
        <v>139</v>
      </c>
      <c r="L22" s="77" t="s">
        <v>140</v>
      </c>
      <c r="M22" s="77" t="s">
        <v>141</v>
      </c>
      <c r="N22" s="77" t="s">
        <v>142</v>
      </c>
    </row>
    <row r="23" spans="1:18" s="79" customFormat="1" ht="20.25" hidden="1" customHeight="1" x14ac:dyDescent="0.2">
      <c r="A23" s="78" t="s">
        <v>89</v>
      </c>
      <c r="B23" s="78" t="s">
        <v>120</v>
      </c>
      <c r="C23" s="78" t="s">
        <v>121</v>
      </c>
      <c r="D23" s="78" t="s">
        <v>122</v>
      </c>
      <c r="E23" s="78" t="s">
        <v>123</v>
      </c>
      <c r="F23" s="78"/>
      <c r="G23" s="78"/>
      <c r="H23" s="78"/>
      <c r="I23" s="78"/>
      <c r="J23" s="78"/>
      <c r="K23" s="78" t="s">
        <v>143</v>
      </c>
      <c r="L23" s="78" t="s">
        <v>144</v>
      </c>
      <c r="M23" s="78" t="s">
        <v>128</v>
      </c>
      <c r="N23" s="78" t="s">
        <v>129</v>
      </c>
      <c r="R23" s="80"/>
    </row>
    <row r="24" spans="1:18" s="58" customFormat="1" ht="20.25" hidden="1" customHeight="1" x14ac:dyDescent="0.25">
      <c r="A24" s="81" t="s">
        <v>108</v>
      </c>
      <c r="B24" s="82">
        <v>4910.7999999999993</v>
      </c>
      <c r="C24" s="83">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130</v>
      </c>
      <c r="B25" s="82">
        <v>0</v>
      </c>
      <c r="C25" s="83">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109</v>
      </c>
      <c r="B26" s="82" t="e">
        <v>#DIV/0!</v>
      </c>
      <c r="C26" s="83">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131</v>
      </c>
      <c r="B27" s="82" t="e">
        <v>#DIV/0!</v>
      </c>
      <c r="C27" s="83">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112</v>
      </c>
      <c r="B28" s="82" t="e">
        <v>#DIV/0!</v>
      </c>
      <c r="C28" s="83">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110</v>
      </c>
      <c r="B29" s="82" t="e">
        <v>#DIV/0!</v>
      </c>
      <c r="C29" s="83">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113</v>
      </c>
      <c r="B30" s="82" t="e">
        <v>#DIV/0!</v>
      </c>
      <c r="C30" s="83">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114</v>
      </c>
      <c r="B31" s="82" t="e">
        <v>#DIV/0!</v>
      </c>
      <c r="C31" s="83">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115</v>
      </c>
      <c r="B32" s="82" t="e">
        <v>#DIV/0!</v>
      </c>
      <c r="C32" s="83">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111</v>
      </c>
      <c r="B33" s="82" t="e">
        <v>#DIV/0!</v>
      </c>
      <c r="C33" s="83">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116</v>
      </c>
      <c r="B34" s="82" t="e">
        <v>#DIV/0!</v>
      </c>
      <c r="C34" s="83">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117</v>
      </c>
      <c r="B35" s="82" t="e">
        <v>#DIV/0!</v>
      </c>
      <c r="C35" s="83">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6" t="e">
        <v>#DIV/0!</v>
      </c>
      <c r="C36" s="437">
        <v>0</v>
      </c>
      <c r="D36" s="89"/>
      <c r="E36" s="89"/>
      <c r="F36" s="89"/>
      <c r="G36" s="89"/>
      <c r="H36" s="89"/>
      <c r="I36" s="89"/>
      <c r="J36" s="89"/>
      <c r="K36" s="89"/>
      <c r="L36" s="89"/>
      <c r="M36" s="90"/>
      <c r="N36" s="89"/>
      <c r="R36" s="85"/>
    </row>
    <row r="37" spans="1:33" s="58" customFormat="1" ht="20.25" customHeight="1" x14ac:dyDescent="0.25">
      <c r="A37" s="440"/>
      <c r="B37" s="440"/>
      <c r="C37" s="91"/>
      <c r="D37" s="91"/>
      <c r="E37" s="91"/>
      <c r="F37" s="91"/>
      <c r="G37" s="89"/>
      <c r="H37" s="89"/>
      <c r="I37" s="89"/>
      <c r="J37" s="89"/>
      <c r="K37" s="89"/>
      <c r="L37" s="89"/>
      <c r="M37" s="90"/>
      <c r="N37" s="89"/>
      <c r="R37" s="85"/>
    </row>
    <row r="38" spans="1:33" s="58" customFormat="1" ht="20.25" customHeight="1" x14ac:dyDescent="0.25">
      <c r="A38" s="441"/>
      <c r="B38" s="842" t="s">
        <v>119</v>
      </c>
      <c r="C38" s="843"/>
      <c r="D38" s="442"/>
      <c r="E38" s="841" t="s">
        <v>198</v>
      </c>
      <c r="F38" s="841"/>
      <c r="G38" s="838"/>
      <c r="H38" s="838"/>
      <c r="I38" s="838"/>
      <c r="J38" s="838"/>
      <c r="K38" s="838"/>
      <c r="L38" s="89"/>
      <c r="M38" s="90"/>
      <c r="N38" s="89"/>
      <c r="R38" s="85"/>
    </row>
    <row r="39" spans="1:33" ht="30" customHeight="1" x14ac:dyDescent="0.3">
      <c r="A39" s="441"/>
      <c r="B39" s="443"/>
      <c r="D39" s="93" t="s">
        <v>103</v>
      </c>
      <c r="E39" s="93" t="s">
        <v>150</v>
      </c>
      <c r="F39" s="94" t="s">
        <v>151</v>
      </c>
      <c r="G39" s="177"/>
      <c r="H39" s="161"/>
      <c r="I39" s="161"/>
      <c r="J39" s="161"/>
      <c r="L39" s="174" t="s">
        <v>150</v>
      </c>
      <c r="M39" s="94" t="s">
        <v>151</v>
      </c>
      <c r="N39" s="93" t="s">
        <v>150</v>
      </c>
      <c r="O39" s="94" t="s">
        <v>151</v>
      </c>
      <c r="P39" s="93" t="s">
        <v>150</v>
      </c>
      <c r="Q39" s="94" t="s">
        <v>151</v>
      </c>
      <c r="R39" s="93" t="s">
        <v>150</v>
      </c>
      <c r="S39" s="94" t="s">
        <v>151</v>
      </c>
      <c r="T39" s="93" t="s">
        <v>150</v>
      </c>
      <c r="U39" s="94" t="s">
        <v>151</v>
      </c>
      <c r="V39" s="93" t="s">
        <v>150</v>
      </c>
      <c r="W39" s="94" t="s">
        <v>151</v>
      </c>
      <c r="X39" s="93" t="s">
        <v>150</v>
      </c>
      <c r="Y39" s="94" t="s">
        <v>151</v>
      </c>
      <c r="Z39" s="93" t="s">
        <v>150</v>
      </c>
      <c r="AA39" s="94" t="s">
        <v>151</v>
      </c>
      <c r="AB39" s="93" t="s">
        <v>150</v>
      </c>
      <c r="AC39" s="94" t="s">
        <v>151</v>
      </c>
      <c r="AD39" s="93" t="s">
        <v>150</v>
      </c>
      <c r="AE39" s="94" t="s">
        <v>151</v>
      </c>
      <c r="AF39" s="93" t="s">
        <v>150</v>
      </c>
      <c r="AG39" s="94" t="s">
        <v>151</v>
      </c>
    </row>
    <row r="40" spans="1:33" ht="20.25" customHeight="1" x14ac:dyDescent="0.3">
      <c r="A40" s="441"/>
      <c r="B40" s="840" t="s">
        <v>39</v>
      </c>
      <c r="C40" s="805"/>
      <c r="D40" s="435">
        <f>'BP FORMAT JUILLET 2023'!D51</f>
        <v>6.9000000000000006E-2</v>
      </c>
      <c r="E40" s="96">
        <f>'BP FORMAT JUILLET 2023'!C51</f>
        <v>3925</v>
      </c>
      <c r="F40" s="97">
        <f>ROUND(E40*D40,2)</f>
        <v>270.83</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1"/>
      <c r="B41" s="840" t="s">
        <v>40</v>
      </c>
      <c r="C41" s="805"/>
      <c r="D41" s="435">
        <f>'BP FORMAT JUILLET 2023'!D52</f>
        <v>4.0000000000000001E-3</v>
      </c>
      <c r="E41" s="96">
        <f>'BP FORMAT JUILLET 2023'!C52</f>
        <v>6000</v>
      </c>
      <c r="F41" s="97">
        <f t="shared" ref="F41:F47" si="14">ROUND(E41*D41,2)</f>
        <v>24</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1"/>
      <c r="B42" s="840" t="s">
        <v>41</v>
      </c>
      <c r="C42" s="805"/>
      <c r="D42" s="435">
        <f>'BP FORMAT JUILLET 2023'!D53</f>
        <v>4.1499999999999995E-2</v>
      </c>
      <c r="E42" s="96">
        <f>'BP FORMAT JUILLET 2023'!C53</f>
        <v>3925</v>
      </c>
      <c r="F42" s="97">
        <f t="shared" si="14"/>
        <v>162.88999999999999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1"/>
      <c r="B43" s="840" t="s">
        <v>42</v>
      </c>
      <c r="C43" s="805"/>
      <c r="D43" s="435">
        <f>'BP FORMAT JUILLET 2023'!D54</f>
        <v>9.8600000000000007E-2</v>
      </c>
      <c r="E43" s="96">
        <f>'BP FORMAT JUILLET 2023'!C54</f>
        <v>2075</v>
      </c>
      <c r="F43" s="97">
        <f t="shared" si="14"/>
        <v>204.6</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1"/>
      <c r="B44" s="840"/>
      <c r="C44" s="805"/>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1"/>
      <c r="B45" s="840"/>
      <c r="C45" s="805"/>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1"/>
      <c r="B46" s="840"/>
      <c r="C46" s="805"/>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1"/>
      <c r="B47" s="840"/>
      <c r="C47" s="805"/>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1"/>
      <c r="B48" s="840"/>
      <c r="C48" s="805"/>
      <c r="D48" s="387"/>
      <c r="E48" s="156"/>
      <c r="F48" s="97"/>
      <c r="G48" s="118"/>
      <c r="H48" s="162"/>
      <c r="I48" s="162"/>
      <c r="J48" s="162"/>
      <c r="L48" s="175">
        <v>0</v>
      </c>
      <c r="M48" s="97">
        <f t="shared" si="15"/>
        <v>0</v>
      </c>
      <c r="N48" s="97" t="e">
        <v>#DIV/0!</v>
      </c>
      <c r="O48" s="97" t="e">
        <f t="shared" si="16"/>
        <v>#DIV/0!</v>
      </c>
      <c r="P48" s="97" t="e">
        <v>#DIV/0!</v>
      </c>
      <c r="Q48" s="97" t="e">
        <f t="shared" si="17"/>
        <v>#DIV/0!</v>
      </c>
      <c r="R48" s="97" t="e">
        <v>#DIV/0!</v>
      </c>
      <c r="S48" s="97" t="e">
        <v>#DIV/0!</v>
      </c>
      <c r="T48" s="103" t="e">
        <v>#DIV/0!</v>
      </c>
      <c r="U48" s="97" t="e">
        <f>ROUND(T48*D48/100,2)</f>
        <v>#DIV/0!</v>
      </c>
      <c r="V48" s="98" t="e">
        <v>#DIV/0!</v>
      </c>
      <c r="W48" s="99" t="e">
        <f>ROUND(V48*$D$48/100,2)</f>
        <v>#DIV/0!</v>
      </c>
      <c r="X48" s="103" t="e">
        <v>#DIV/0!</v>
      </c>
      <c r="Y48" s="100" t="e">
        <f>ROUND(X48*$D$48/100,2)</f>
        <v>#DIV/0!</v>
      </c>
      <c r="Z48" s="103" t="e">
        <v>#DIV/0!</v>
      </c>
      <c r="AA48" s="100" t="e">
        <f>ROUND(Z48*$D$48/100,2)</f>
        <v>#DIV/0!</v>
      </c>
      <c r="AB48" s="103" t="e">
        <v>#DIV/0!</v>
      </c>
      <c r="AC48" s="100" t="e">
        <f>ROUND(AB48*$D$48/100,2)</f>
        <v>#DIV/0!</v>
      </c>
      <c r="AD48" s="103" t="e">
        <v>#DIV/0!</v>
      </c>
      <c r="AE48" s="100" t="e">
        <f>ROUND(AD48*$D$48/100,2)</f>
        <v>#DIV/0!</v>
      </c>
      <c r="AF48" s="103" t="e">
        <v>#DIV/0!</v>
      </c>
      <c r="AG48" s="100" t="e">
        <f>ROUND(AF48*$D$48/100,2)</f>
        <v>#DIV/0!</v>
      </c>
    </row>
    <row r="49" spans="1:33" s="20" customFormat="1" ht="20.25" customHeight="1" x14ac:dyDescent="0.25">
      <c r="A49" s="441"/>
      <c r="B49" s="839" t="s">
        <v>95</v>
      </c>
      <c r="C49" s="839"/>
      <c r="D49" s="444"/>
      <c r="F49" s="142">
        <f>SUM(F40:F48)</f>
        <v>662.31999999999994</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1"/>
      <c r="B50" s="831" t="s">
        <v>199</v>
      </c>
      <c r="C50" s="831"/>
      <c r="D50" s="445"/>
      <c r="E50" s="446"/>
      <c r="F50" s="434">
        <f xml:space="preserve"> ROUND(IF(F49/E41&gt;0.1131,0.1131,F49/E41),4)</f>
        <v>0.1104</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152</v>
      </c>
      <c r="B54" s="832" t="s">
        <v>153</v>
      </c>
      <c r="C54" s="833"/>
      <c r="D54" s="833"/>
      <c r="E54" s="833"/>
      <c r="F54" s="833"/>
      <c r="G54" s="833"/>
      <c r="H54" s="833"/>
      <c r="I54" s="833"/>
      <c r="J54" s="833"/>
      <c r="K54" s="833"/>
      <c r="O54" s="109"/>
      <c r="P54" s="109"/>
      <c r="Q54" s="109"/>
      <c r="R54" s="109"/>
      <c r="S54" s="109"/>
      <c r="T54" s="109"/>
    </row>
    <row r="55" spans="1:33" ht="20.25" customHeight="1" x14ac:dyDescent="0.3">
      <c r="A55" s="57" t="s">
        <v>308</v>
      </c>
      <c r="B55" s="57" t="s">
        <v>264</v>
      </c>
      <c r="C55" s="57" t="s">
        <v>226</v>
      </c>
      <c r="D55" s="57" t="s">
        <v>265</v>
      </c>
      <c r="E55" s="57" t="s">
        <v>266</v>
      </c>
      <c r="F55" s="57" t="s">
        <v>267</v>
      </c>
      <c r="G55" s="57" t="s">
        <v>268</v>
      </c>
      <c r="H55" s="45"/>
      <c r="K55" s="110"/>
    </row>
    <row r="56" spans="1:33" s="111" customFormat="1" ht="48.75" customHeight="1" x14ac:dyDescent="0.2">
      <c r="A56" s="112" t="s">
        <v>317</v>
      </c>
      <c r="B56" s="438" t="s">
        <v>154</v>
      </c>
      <c r="C56" s="438" t="s">
        <v>318</v>
      </c>
      <c r="D56" s="438" t="s">
        <v>103</v>
      </c>
      <c r="E56" s="438" t="s">
        <v>319</v>
      </c>
      <c r="F56" s="439" t="s">
        <v>155</v>
      </c>
      <c r="G56" s="439" t="s">
        <v>411</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f>ROUND(IF(F49/E41&gt;0.1131,0.1131,F49/E41),4)</f>
        <v>0.1104</v>
      </c>
      <c r="E57" s="392">
        <f>IF(A57&gt;8037,0,IF(C57&gt;8037,8037-A57,B57))</f>
        <v>0</v>
      </c>
      <c r="F57" s="392">
        <f>ROUND(E57*D57,2)</f>
        <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156</v>
      </c>
      <c r="B59" s="102">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157</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158</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159</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148</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160</v>
      </c>
      <c r="B64" s="122" t="e">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161</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162</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163</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164</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165</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48" t="s">
        <v>308</v>
      </c>
      <c r="B84" s="448" t="s">
        <v>264</v>
      </c>
      <c r="C84" s="448" t="s">
        <v>226</v>
      </c>
      <c r="D84" s="448" t="s">
        <v>265</v>
      </c>
      <c r="E84" s="448" t="s">
        <v>266</v>
      </c>
      <c r="F84" s="448" t="s">
        <v>267</v>
      </c>
      <c r="G84" s="109"/>
      <c r="H84" s="109"/>
      <c r="I84" s="109"/>
      <c r="J84" s="109"/>
      <c r="K84" s="109"/>
      <c r="L84" s="146" t="s">
        <v>157</v>
      </c>
      <c r="M84" s="133" t="s">
        <v>158</v>
      </c>
      <c r="N84" s="133" t="s">
        <v>147</v>
      </c>
      <c r="O84" s="133" t="s">
        <v>148</v>
      </c>
      <c r="P84" s="133" t="s">
        <v>149</v>
      </c>
      <c r="Q84" s="133" t="s">
        <v>161</v>
      </c>
      <c r="R84" s="133" t="s">
        <v>162</v>
      </c>
      <c r="S84" s="133" t="s">
        <v>163</v>
      </c>
      <c r="T84" s="133" t="s">
        <v>164</v>
      </c>
      <c r="U84" s="133" t="s">
        <v>165</v>
      </c>
    </row>
    <row r="85" spans="1:21" ht="20.25" customHeight="1" x14ac:dyDescent="0.3">
      <c r="A85" s="829" t="s">
        <v>166</v>
      </c>
      <c r="B85" s="829"/>
      <c r="C85" s="829"/>
      <c r="D85" s="829"/>
      <c r="E85" s="155">
        <f>'BP FORMAT JUILLET 2023'!J33-'BP FORMAT JUILLET 2023'!J22-'BP FORMAT JUILLET 2023'!J21-'BP FORMAT JUILLET 2023'!J20-'BP FORMAT JUILLET 2023'!J19-'BP FORMAT JUILLET 2023'!J18-'BP FORMAT JUILLET 2023'!J14-'BP FORMAT JUILLET 2023'!J17</f>
        <v>6000</v>
      </c>
      <c r="F85" s="447">
        <v>85</v>
      </c>
      <c r="G85" s="148"/>
      <c r="H85" s="148"/>
      <c r="I85" s="148"/>
      <c r="J85" s="148"/>
      <c r="K85" s="148"/>
      <c r="L85" s="147" t="e">
        <v>#DIV/0!</v>
      </c>
      <c r="M85" s="134" t="e">
        <v>#DIV/0!</v>
      </c>
      <c r="N85" s="134" t="e">
        <v>#DIV/0!</v>
      </c>
      <c r="O85" s="122" t="e">
        <v>#DIV/0!</v>
      </c>
      <c r="P85" s="122" t="e">
        <v>#DIV/0!</v>
      </c>
      <c r="Q85" s="122" t="e">
        <v>#DIV/0!</v>
      </c>
      <c r="R85" s="122" t="e">
        <v>#DIV/0!</v>
      </c>
      <c r="S85" s="122" t="e">
        <v>#DIV/0!</v>
      </c>
      <c r="T85" s="122" t="e">
        <v>#DIV/0!</v>
      </c>
      <c r="U85" s="122" t="e">
        <v>#DIV/0!</v>
      </c>
    </row>
    <row r="86" spans="1:21" ht="20.25" customHeight="1" x14ac:dyDescent="0.3">
      <c r="A86" s="823" t="s">
        <v>397</v>
      </c>
      <c r="B86" s="824"/>
      <c r="C86" s="824"/>
      <c r="D86" s="825"/>
      <c r="E86" s="155">
        <f>G57</f>
        <v>0</v>
      </c>
      <c r="F86" s="447">
        <v>86</v>
      </c>
      <c r="G86" s="148"/>
      <c r="H86" s="148"/>
      <c r="I86" s="148"/>
      <c r="J86" s="148"/>
      <c r="K86" s="148"/>
      <c r="L86" s="147"/>
      <c r="M86" s="134"/>
      <c r="N86" s="134"/>
      <c r="O86" s="122"/>
      <c r="P86" s="122"/>
      <c r="Q86" s="122"/>
      <c r="R86" s="122"/>
      <c r="S86" s="122"/>
      <c r="T86" s="122"/>
      <c r="U86" s="122"/>
    </row>
    <row r="87" spans="1:21" ht="20.25" customHeight="1" x14ac:dyDescent="0.3">
      <c r="A87" s="826" t="s">
        <v>398</v>
      </c>
      <c r="B87" s="827"/>
      <c r="C87" s="827"/>
      <c r="D87" s="828"/>
      <c r="E87" s="155">
        <f>E85+E86</f>
        <v>6000</v>
      </c>
      <c r="F87" s="447">
        <v>87</v>
      </c>
      <c r="G87" s="148"/>
      <c r="H87" s="148"/>
      <c r="I87" s="148"/>
      <c r="J87" s="148"/>
      <c r="K87" s="148"/>
      <c r="L87" s="147"/>
      <c r="M87" s="134"/>
      <c r="N87" s="134"/>
      <c r="O87" s="122"/>
      <c r="P87" s="122"/>
      <c r="Q87" s="122"/>
      <c r="R87" s="122"/>
      <c r="S87" s="122"/>
      <c r="T87" s="122"/>
      <c r="U87" s="122"/>
    </row>
    <row r="88" spans="1:21" ht="20.25" customHeight="1" x14ac:dyDescent="0.3">
      <c r="A88" s="823" t="s">
        <v>18</v>
      </c>
      <c r="B88" s="824"/>
      <c r="C88" s="824"/>
      <c r="D88" s="825"/>
      <c r="E88" s="155">
        <f>+'BP FORMAT JUILLET 2023'!J17</f>
        <v>0</v>
      </c>
      <c r="F88" s="447">
        <v>88</v>
      </c>
      <c r="G88" s="148"/>
      <c r="H88" s="148"/>
      <c r="I88" s="148"/>
      <c r="J88" s="148"/>
      <c r="K88" s="148"/>
      <c r="L88" s="147">
        <v>0</v>
      </c>
      <c r="M88" s="134">
        <v>0</v>
      </c>
      <c r="N88" s="134">
        <v>0</v>
      </c>
      <c r="O88" s="122">
        <v>0</v>
      </c>
      <c r="P88" s="122">
        <v>0</v>
      </c>
      <c r="Q88" s="122">
        <v>0</v>
      </c>
      <c r="R88" s="122">
        <v>0</v>
      </c>
      <c r="S88" s="122">
        <v>0</v>
      </c>
      <c r="T88" s="122">
        <v>0</v>
      </c>
      <c r="U88" s="122">
        <v>0</v>
      </c>
    </row>
    <row r="89" spans="1:21" ht="20.25" customHeight="1" x14ac:dyDescent="0.3">
      <c r="A89" s="823" t="s">
        <v>412</v>
      </c>
      <c r="B89" s="824"/>
      <c r="C89" s="824"/>
      <c r="D89" s="825"/>
      <c r="E89" s="155">
        <f>+'BP FORMAT JUILLET 2023'!J14</f>
        <v>0</v>
      </c>
      <c r="F89" s="447">
        <v>89</v>
      </c>
      <c r="G89" s="148"/>
      <c r="H89" s="148"/>
      <c r="I89" s="148"/>
      <c r="J89" s="148"/>
      <c r="K89" s="148"/>
      <c r="L89" s="147"/>
      <c r="M89" s="134"/>
      <c r="N89" s="134"/>
      <c r="O89" s="122"/>
      <c r="P89" s="122"/>
      <c r="Q89" s="122"/>
      <c r="R89" s="122"/>
      <c r="S89" s="122"/>
      <c r="T89" s="122"/>
      <c r="U89" s="122"/>
    </row>
    <row r="90" spans="1:21" ht="20.25" customHeight="1" x14ac:dyDescent="0.3">
      <c r="A90" s="823" t="s">
        <v>316</v>
      </c>
      <c r="B90" s="824"/>
      <c r="C90" s="824"/>
      <c r="D90" s="825"/>
      <c r="E90" s="155">
        <f>E88+E89</f>
        <v>0</v>
      </c>
      <c r="F90" s="447">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29" t="s">
        <v>167</v>
      </c>
      <c r="B91" s="829"/>
      <c r="C91" s="829"/>
      <c r="D91" s="829"/>
      <c r="E91" s="155">
        <f>E57</f>
        <v>0</v>
      </c>
      <c r="F91" s="447">
        <v>91</v>
      </c>
      <c r="G91" s="148"/>
      <c r="H91" s="148"/>
      <c r="I91" s="148"/>
      <c r="J91" s="148"/>
      <c r="K91" s="148"/>
      <c r="L91" s="147" t="e">
        <v>#DIV/0!</v>
      </c>
      <c r="M91" s="134" t="e">
        <v>#DIV/0!</v>
      </c>
      <c r="N91" s="134" t="e">
        <v>#DIV/0!</v>
      </c>
      <c r="O91" s="122" t="e">
        <v>#DIV/0!</v>
      </c>
      <c r="P91" s="122" t="e">
        <v>#DIV/0!</v>
      </c>
      <c r="Q91" s="122" t="e">
        <v>#DIV/0!</v>
      </c>
      <c r="R91" s="122" t="e">
        <v>#DIV/0!</v>
      </c>
      <c r="S91" s="122" t="e">
        <v>#DIV/0!</v>
      </c>
      <c r="T91" s="122" t="e">
        <v>#DIV/0!</v>
      </c>
      <c r="U91" s="122" t="e">
        <v>#DIV/0!</v>
      </c>
    </row>
    <row r="92" spans="1:21" ht="24" customHeight="1" x14ac:dyDescent="0.3">
      <c r="A92" s="829" t="s">
        <v>414</v>
      </c>
      <c r="B92" s="829"/>
      <c r="C92" s="829"/>
      <c r="D92" s="829"/>
      <c r="E92" s="155">
        <f>'BP FORMAT JUILLET 2023'!F66</f>
        <v>408.13</v>
      </c>
      <c r="F92" s="447"/>
      <c r="G92" s="148"/>
      <c r="H92" s="148"/>
      <c r="I92" s="148"/>
      <c r="J92" s="148"/>
      <c r="K92" s="148"/>
      <c r="L92" s="147" t="e">
        <v>#DIV/0!</v>
      </c>
      <c r="M92" s="134" t="e">
        <v>#DIV/0!</v>
      </c>
      <c r="N92" s="134" t="e">
        <v>#DIV/0!</v>
      </c>
      <c r="O92" s="122" t="e">
        <v>#DIV/0!</v>
      </c>
      <c r="P92" s="122" t="e">
        <v>#DIV/0!</v>
      </c>
      <c r="Q92" s="122" t="e">
        <v>#DIV/0!</v>
      </c>
      <c r="R92" s="122" t="e">
        <v>#DIV/0!</v>
      </c>
      <c r="S92" s="122" t="e">
        <v>#DIV/0!</v>
      </c>
      <c r="T92" s="122" t="e">
        <v>#DIV/0!</v>
      </c>
      <c r="U92" s="122" t="e">
        <v>#DIV/0!</v>
      </c>
    </row>
    <row r="93" spans="1:21" ht="24" customHeight="1" x14ac:dyDescent="0.3">
      <c r="A93" s="829" t="s">
        <v>168</v>
      </c>
      <c r="B93" s="829"/>
      <c r="C93" s="829"/>
      <c r="D93" s="829"/>
      <c r="E93" s="155">
        <f>'BP FORMAT JUILLET 2023'!F67</f>
        <v>174.05</v>
      </c>
      <c r="F93" s="447"/>
      <c r="G93" s="148"/>
      <c r="H93" s="148"/>
      <c r="I93" s="148"/>
      <c r="J93" s="148"/>
      <c r="K93" s="148"/>
      <c r="L93" s="147" t="e">
        <v>#DIV/0!</v>
      </c>
      <c r="M93" s="134" t="e">
        <v>#DIV/0!</v>
      </c>
      <c r="N93" s="134" t="e">
        <v>#DIV/0!</v>
      </c>
      <c r="O93" s="122" t="e">
        <v>#DIV/0!</v>
      </c>
      <c r="P93" s="122" t="e">
        <v>#DIV/0!</v>
      </c>
      <c r="Q93" s="122" t="e">
        <v>#DIV/0!</v>
      </c>
      <c r="R93" s="122" t="e">
        <v>#DIV/0!</v>
      </c>
      <c r="S93" s="122" t="e">
        <v>#DIV/0!</v>
      </c>
      <c r="T93" s="122" t="e">
        <v>#DIV/0!</v>
      </c>
      <c r="U93" s="122" t="e">
        <v>#DIV/0!</v>
      </c>
    </row>
    <row r="94" spans="1:21" ht="24" customHeight="1" x14ac:dyDescent="0.3">
      <c r="A94" s="829" t="s">
        <v>169</v>
      </c>
      <c r="B94" s="829"/>
      <c r="C94" s="829"/>
      <c r="D94" s="829"/>
      <c r="E94" s="155">
        <f>'BP FORMAT JUILLET 2023'!F68</f>
        <v>0</v>
      </c>
      <c r="F94" s="447"/>
      <c r="G94" s="148"/>
      <c r="H94" s="148"/>
      <c r="I94" s="148"/>
      <c r="J94" s="148"/>
      <c r="K94" s="148"/>
      <c r="L94" s="147" t="e">
        <v>#DIV/0!</v>
      </c>
      <c r="M94" s="134" t="e">
        <v>#DIV/0!</v>
      </c>
      <c r="N94" s="134" t="e">
        <v>#DIV/0!</v>
      </c>
      <c r="O94" s="122" t="e">
        <v>#DIV/0!</v>
      </c>
      <c r="P94" s="122" t="e">
        <v>#DIV/0!</v>
      </c>
      <c r="Q94" s="122" t="e">
        <v>#DIV/0!</v>
      </c>
      <c r="R94" s="122" t="e">
        <v>#DIV/0!</v>
      </c>
      <c r="S94" s="122" t="e">
        <v>#DIV/0!</v>
      </c>
      <c r="T94" s="122" t="e">
        <v>#DIV/0!</v>
      </c>
      <c r="U94" s="122" t="e">
        <v>#DIV/0!</v>
      </c>
    </row>
    <row r="95" spans="1:21" ht="24" customHeight="1" x14ac:dyDescent="0.3">
      <c r="A95" s="829" t="s">
        <v>170</v>
      </c>
      <c r="B95" s="829"/>
      <c r="C95" s="829"/>
      <c r="D95" s="829"/>
      <c r="E95" s="155">
        <f>'BP FORMAT JUILLET 2023'!F69</f>
        <v>0</v>
      </c>
      <c r="F95" s="447"/>
      <c r="G95" s="148"/>
      <c r="H95" s="148"/>
      <c r="I95" s="148"/>
      <c r="J95" s="148"/>
      <c r="K95" s="148"/>
      <c r="L95" s="147">
        <v>0</v>
      </c>
      <c r="M95" s="134">
        <v>0</v>
      </c>
      <c r="N95" s="134" t="e">
        <v>#DIV/0!</v>
      </c>
      <c r="O95" s="122" t="e">
        <v>#DIV/0!</v>
      </c>
      <c r="P95" s="122" t="e">
        <v>#DIV/0!</v>
      </c>
      <c r="Q95" s="122" t="e">
        <v>#DIV/0!</v>
      </c>
      <c r="R95" s="122" t="e">
        <v>#DIV/0!</v>
      </c>
      <c r="S95" s="122" t="e">
        <v>#DIV/0!</v>
      </c>
      <c r="T95" s="122" t="e">
        <v>#DIV/0!</v>
      </c>
      <c r="U95" s="122" t="e">
        <v>#DIV/0!</v>
      </c>
    </row>
    <row r="96" spans="1:21" ht="24" customHeight="1" x14ac:dyDescent="0.3">
      <c r="A96" s="829" t="s">
        <v>171</v>
      </c>
      <c r="B96" s="829"/>
      <c r="C96" s="829"/>
      <c r="D96" s="829"/>
      <c r="E96" s="155">
        <f>'BP FORMAT JUILLET 2023'!F70</f>
        <v>0</v>
      </c>
      <c r="F96" s="447"/>
      <c r="G96" s="148"/>
      <c r="H96" s="148"/>
      <c r="I96" s="148"/>
      <c r="J96" s="148"/>
      <c r="K96" s="148"/>
      <c r="L96" s="147" t="e">
        <v>#DIV/0!</v>
      </c>
      <c r="M96" s="134" t="e">
        <v>#DIV/0!</v>
      </c>
      <c r="N96" s="134" t="e">
        <v>#DIV/0!</v>
      </c>
      <c r="O96" s="122" t="e">
        <v>#DIV/0!</v>
      </c>
      <c r="P96" s="122" t="e">
        <v>#DIV/0!</v>
      </c>
      <c r="Q96" s="122" t="e">
        <v>#DIV/0!</v>
      </c>
      <c r="R96" s="122" t="e">
        <v>#DIV/0!</v>
      </c>
      <c r="S96" s="122" t="e">
        <v>#DIV/0!</v>
      </c>
      <c r="T96" s="122" t="e">
        <v>#DIV/0!</v>
      </c>
      <c r="U96" s="122" t="e">
        <v>#DIV/0!</v>
      </c>
    </row>
    <row r="97" spans="1:21" ht="24" customHeight="1" x14ac:dyDescent="0.3">
      <c r="A97" s="829" t="s">
        <v>172</v>
      </c>
      <c r="B97" s="829"/>
      <c r="C97" s="829"/>
      <c r="D97" s="829"/>
      <c r="E97" s="155">
        <f>'BP FORMAT JUILLET 2023'!F73+'BP FORMAT JUILLET 2023'!F76+'BP FORMAT JUILLET 2023'!F78+'BP FORMAT JUILLET 2023'!F75+'BP FORMAT JUILLET 2023'!F44</f>
        <v>1293.9399999999998</v>
      </c>
      <c r="F97" s="447"/>
      <c r="G97" s="148"/>
      <c r="H97" s="148"/>
      <c r="I97" s="148"/>
      <c r="J97" s="148"/>
      <c r="K97" s="148"/>
      <c r="L97" s="147" t="e">
        <v>#DIV/0!</v>
      </c>
      <c r="M97" s="134" t="e">
        <v>#DIV/0!</v>
      </c>
      <c r="N97" s="134" t="e">
        <v>#DIV/0!</v>
      </c>
      <c r="O97" s="122" t="e">
        <v>#DIV/0!</v>
      </c>
      <c r="P97" s="122" t="e">
        <v>#DIV/0!</v>
      </c>
      <c r="Q97" s="122" t="e">
        <v>#DIV/0!</v>
      </c>
      <c r="R97" s="122" t="e">
        <v>#DIV/0!</v>
      </c>
      <c r="S97" s="122" t="e">
        <v>#DIV/0!</v>
      </c>
      <c r="T97" s="122" t="e">
        <v>#DIV/0!</v>
      </c>
      <c r="U97" s="122" t="e">
        <v>#DIV/0!</v>
      </c>
    </row>
    <row r="98" spans="1:21" ht="24" customHeight="1" x14ac:dyDescent="0.3">
      <c r="A98" s="829" t="s">
        <v>173</v>
      </c>
      <c r="B98" s="829"/>
      <c r="C98" s="829"/>
      <c r="D98" s="829"/>
      <c r="E98" s="155">
        <f>'BP FORMAT JUILLET 2023'!G40+'BP FORMAT JUILLET 2023'!G43</f>
        <v>48</v>
      </c>
      <c r="F98" s="447">
        <v>98</v>
      </c>
      <c r="G98" s="148"/>
      <c r="H98" s="148"/>
      <c r="I98" s="148"/>
      <c r="J98" s="148"/>
      <c r="K98" s="148"/>
      <c r="L98" s="147" t="e">
        <v>#DIV/0!</v>
      </c>
      <c r="M98" s="134" t="e">
        <v>#DIV/0!</v>
      </c>
      <c r="N98" s="134" t="e">
        <v>#DIV/0!</v>
      </c>
      <c r="O98" s="122" t="e">
        <v>#DIV/0!</v>
      </c>
      <c r="P98" s="122" t="e">
        <v>#DIV/0!</v>
      </c>
      <c r="Q98" s="122" t="e">
        <v>#DIV/0!</v>
      </c>
      <c r="R98" s="122" t="e">
        <v>#DIV/0!</v>
      </c>
      <c r="S98" s="122" t="e">
        <v>#DIV/0!</v>
      </c>
      <c r="T98" s="122" t="e">
        <v>#DIV/0!</v>
      </c>
      <c r="U98" s="122" t="e">
        <v>#DIV/0!</v>
      </c>
    </row>
    <row r="99" spans="1:21" ht="24" customHeight="1" x14ac:dyDescent="0.3">
      <c r="A99" s="829" t="s">
        <v>408</v>
      </c>
      <c r="B99" s="829"/>
      <c r="C99" s="829"/>
      <c r="D99" s="829"/>
      <c r="E99" s="449">
        <f>'BP FORMAT JUILLET 2023'!G76+'BP FORMAT JUILLET 2023'!G78+'BP FORMAT JUILLET 2023'!G44+'BP FORMAT JUILLET 2023'!G75</f>
        <v>58.88</v>
      </c>
      <c r="F99" s="447">
        <v>99</v>
      </c>
      <c r="G99" s="52"/>
      <c r="H99" s="52"/>
      <c r="I99" s="52"/>
      <c r="J99" s="52"/>
      <c r="K99" s="52"/>
      <c r="L99" s="52"/>
    </row>
    <row r="100" spans="1:21" ht="24" customHeight="1" x14ac:dyDescent="0.3">
      <c r="A100" s="830" t="s">
        <v>232</v>
      </c>
      <c r="B100" s="830"/>
      <c r="C100" s="830"/>
      <c r="D100" s="830"/>
      <c r="E100" s="450">
        <f>E85+E86+E88+E93+E94+E96-E97+E98+E104</f>
        <v>4928.1100000000006</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29" t="s">
        <v>228</v>
      </c>
      <c r="B103" s="829"/>
      <c r="C103" s="829"/>
      <c r="D103" s="829"/>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23" t="s">
        <v>197</v>
      </c>
      <c r="B104" s="824"/>
      <c r="C104" s="824"/>
      <c r="D104" s="825"/>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29" t="s">
        <v>61</v>
      </c>
      <c r="B105" s="829"/>
      <c r="C105" s="829"/>
      <c r="D105" s="829"/>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202</v>
      </c>
      <c r="F107" s="154"/>
      <c r="G107" s="152"/>
      <c r="H107" s="152"/>
      <c r="I107" s="152"/>
      <c r="J107" s="152"/>
      <c r="K107" s="152"/>
      <c r="L107" s="149" t="s">
        <v>157</v>
      </c>
      <c r="M107" s="137" t="s">
        <v>158</v>
      </c>
      <c r="N107" s="137" t="s">
        <v>147</v>
      </c>
      <c r="O107" s="137" t="s">
        <v>148</v>
      </c>
      <c r="P107" s="137" t="s">
        <v>160</v>
      </c>
      <c r="Q107" s="137" t="s">
        <v>161</v>
      </c>
      <c r="R107" s="137" t="s">
        <v>162</v>
      </c>
      <c r="S107" s="137" t="s">
        <v>163</v>
      </c>
      <c r="T107" s="137" t="s">
        <v>164</v>
      </c>
      <c r="U107" s="137" t="s">
        <v>165</v>
      </c>
    </row>
    <row r="108" spans="1:21" ht="20.25" customHeight="1" x14ac:dyDescent="0.3">
      <c r="A108" s="829" t="s">
        <v>174</v>
      </c>
      <c r="B108" s="829"/>
      <c r="C108" s="829"/>
      <c r="D108" s="829"/>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29" t="s">
        <v>175</v>
      </c>
      <c r="B109" s="829"/>
      <c r="C109" s="829"/>
      <c r="D109" s="829"/>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29" t="s">
        <v>229</v>
      </c>
      <c r="B110" s="829"/>
      <c r="C110" s="829"/>
      <c r="D110" s="829"/>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29" t="s">
        <v>230</v>
      </c>
      <c r="B111" s="829"/>
      <c r="C111" s="829"/>
      <c r="D111" s="829"/>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145</v>
      </c>
      <c r="F113" s="141"/>
      <c r="G113" s="141"/>
      <c r="H113" s="141"/>
      <c r="I113" s="141"/>
      <c r="J113" s="141"/>
      <c r="K113" s="141" t="s">
        <v>146</v>
      </c>
      <c r="L113" s="141" t="s">
        <v>157</v>
      </c>
      <c r="M113" s="141" t="s">
        <v>158</v>
      </c>
      <c r="N113" s="141" t="s">
        <v>147</v>
      </c>
      <c r="O113" s="141" t="s">
        <v>148</v>
      </c>
      <c r="P113" s="141" t="s">
        <v>160</v>
      </c>
      <c r="Q113" s="141" t="s">
        <v>161</v>
      </c>
      <c r="R113" s="141" t="s">
        <v>162</v>
      </c>
      <c r="S113" s="141" t="s">
        <v>163</v>
      </c>
      <c r="T113" s="141" t="s">
        <v>164</v>
      </c>
      <c r="U113" s="141" t="s">
        <v>165</v>
      </c>
    </row>
    <row r="114" spans="1:21" ht="0.75" hidden="1" customHeight="1" x14ac:dyDescent="0.3">
      <c r="A114" s="836" t="s">
        <v>176</v>
      </c>
      <c r="B114" s="836"/>
      <c r="C114" s="836"/>
      <c r="D114" s="836"/>
      <c r="E114" s="136">
        <f t="shared" ref="E114:U114" si="33">E85+E88</f>
        <v>6000</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36" t="s">
        <v>177</v>
      </c>
      <c r="B115" s="836"/>
      <c r="C115" s="836"/>
      <c r="D115" s="836"/>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36" t="s">
        <v>178</v>
      </c>
      <c r="B116" s="836"/>
      <c r="C116" s="836"/>
      <c r="D116" s="836"/>
      <c r="E116" s="136">
        <f>E114+E115</f>
        <v>6000</v>
      </c>
      <c r="F116" s="136"/>
      <c r="G116" s="136"/>
      <c r="H116" s="136"/>
      <c r="I116" s="136"/>
      <c r="J116" s="136"/>
      <c r="K116" s="136">
        <f>K115+K114+E116</f>
        <v>6000</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36" t="s">
        <v>179</v>
      </c>
      <c r="B117" s="836"/>
      <c r="C117" s="836"/>
      <c r="D117" s="836"/>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36" t="s">
        <v>180</v>
      </c>
      <c r="B118" s="836"/>
      <c r="C118" s="836"/>
      <c r="D118" s="836"/>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44" t="s">
        <v>181</v>
      </c>
      <c r="B119" s="845"/>
      <c r="C119" s="845"/>
      <c r="D119" s="846"/>
      <c r="E119" s="136">
        <v>245.54</v>
      </c>
      <c r="F119" s="136"/>
      <c r="G119" s="136"/>
      <c r="H119" s="136"/>
      <c r="I119" s="136"/>
      <c r="J119" s="136"/>
      <c r="K119" s="136">
        <v>0</v>
      </c>
      <c r="L119" s="136" t="e">
        <v>#DIV/0!</v>
      </c>
      <c r="M119" s="136" t="e">
        <v>#DIV/0!</v>
      </c>
      <c r="N119" s="136" t="e">
        <v>#DIV/0!</v>
      </c>
      <c r="O119" s="136" t="e">
        <v>#DIV/0!</v>
      </c>
      <c r="P119" s="122" t="e">
        <v>#DIV/0!</v>
      </c>
      <c r="Q119" s="100"/>
      <c r="R119" s="100"/>
      <c r="S119" s="100"/>
      <c r="T119" s="100"/>
      <c r="U119" s="100"/>
    </row>
    <row r="120" spans="1:21" ht="0.75" hidden="1" customHeight="1" x14ac:dyDescent="0.3">
      <c r="A120" s="836" t="s">
        <v>182</v>
      </c>
      <c r="B120" s="836"/>
      <c r="C120" s="836"/>
      <c r="D120" s="836"/>
      <c r="E120" s="101">
        <f t="shared" ref="E120:U120" si="37">IF(E114&lt;=E118,E114*0.9825+E119,E118*0.9825+E114-E118+E119)</f>
        <v>6140.54</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36" t="s">
        <v>183</v>
      </c>
      <c r="B121" s="836"/>
      <c r="C121" s="836"/>
      <c r="D121" s="836"/>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410</v>
      </c>
      <c r="C125" s="2">
        <f>'BP FORMAT JUILLET 2023'!C33</f>
        <v>3925</v>
      </c>
    </row>
    <row r="126" spans="1:21" x14ac:dyDescent="0.3">
      <c r="I126" s="10"/>
    </row>
    <row r="127" spans="1:21" x14ac:dyDescent="0.3">
      <c r="A127" t="s">
        <v>186</v>
      </c>
    </row>
    <row r="129" spans="1:11" s="58" customFormat="1" x14ac:dyDescent="0.3">
      <c r="A129">
        <v>3</v>
      </c>
      <c r="B129" s="834" t="s">
        <v>189</v>
      </c>
      <c r="C129" s="835"/>
      <c r="D129" s="458">
        <f>4*C125</f>
        <v>15700</v>
      </c>
      <c r="F129" s="63"/>
      <c r="H129" s="454"/>
    </row>
    <row r="130" spans="1:11" s="58" customFormat="1" x14ac:dyDescent="0.3">
      <c r="A130">
        <v>4</v>
      </c>
      <c r="B130" s="817" t="s">
        <v>187</v>
      </c>
      <c r="C130" s="819"/>
      <c r="D130" s="458">
        <f>E85+E90</f>
        <v>6000</v>
      </c>
      <c r="E130" s="451"/>
      <c r="F130" s="452"/>
      <c r="K130" s="164"/>
    </row>
    <row r="131" spans="1:11" s="58" customFormat="1" x14ac:dyDescent="0.3">
      <c r="A131">
        <v>5</v>
      </c>
      <c r="B131" s="817" t="s">
        <v>188</v>
      </c>
      <c r="C131" s="819"/>
      <c r="D131" s="458">
        <f>E57</f>
        <v>0</v>
      </c>
      <c r="E131" s="451"/>
      <c r="F131" s="452"/>
      <c r="K131" s="164"/>
    </row>
    <row r="132" spans="1:11" s="58" customFormat="1" x14ac:dyDescent="0.3">
      <c r="A132">
        <v>6</v>
      </c>
      <c r="B132" s="817" t="s">
        <v>413</v>
      </c>
      <c r="C132" s="819"/>
      <c r="D132" s="459">
        <f>G57</f>
        <v>0</v>
      </c>
      <c r="E132" s="451"/>
      <c r="F132" s="452"/>
      <c r="H132" s="455"/>
      <c r="K132" s="164"/>
    </row>
    <row r="133" spans="1:11" s="58" customFormat="1" x14ac:dyDescent="0.3">
      <c r="A133">
        <v>7</v>
      </c>
      <c r="B133" s="817" t="s">
        <v>185</v>
      </c>
      <c r="C133" s="819"/>
      <c r="D133" s="458">
        <f>D130+D131+D132</f>
        <v>6000</v>
      </c>
      <c r="E133" s="453"/>
      <c r="F133" s="452"/>
      <c r="H133" s="455"/>
    </row>
    <row r="134" spans="1:11" s="58" customFormat="1" x14ac:dyDescent="0.3">
      <c r="A134">
        <v>8</v>
      </c>
      <c r="B134" s="817" t="s">
        <v>190</v>
      </c>
      <c r="C134" s="819"/>
      <c r="D134" s="458">
        <f>E98+E99</f>
        <v>106.88</v>
      </c>
      <c r="H134" s="165"/>
      <c r="I134" s="165"/>
    </row>
    <row r="135" spans="1:11" s="58" customFormat="1" x14ac:dyDescent="0.3">
      <c r="A135">
        <v>9</v>
      </c>
      <c r="F135" s="309" t="s">
        <v>59</v>
      </c>
      <c r="H135" s="165"/>
      <c r="I135" s="165"/>
      <c r="K135" s="63"/>
    </row>
    <row r="136" spans="1:11" s="58" customFormat="1" x14ac:dyDescent="0.3">
      <c r="A136">
        <v>10</v>
      </c>
      <c r="B136" s="820" t="s">
        <v>196</v>
      </c>
      <c r="C136" s="821"/>
      <c r="D136" s="822"/>
      <c r="E136" s="59">
        <v>6.8000000000000005E-2</v>
      </c>
      <c r="F136" s="167">
        <f>IF(D133&lt;D129,D130*0.9825+D134,IF(D130&gt;D129,D129*0.9825+D130-D129+D134, D130*0.9825+D134))</f>
        <v>6001.88</v>
      </c>
      <c r="H136" s="10"/>
      <c r="I136" s="166"/>
    </row>
    <row r="137" spans="1:11" s="58" customFormat="1" x14ac:dyDescent="0.3">
      <c r="A137">
        <v>11</v>
      </c>
      <c r="B137" s="820" t="s">
        <v>191</v>
      </c>
      <c r="C137" s="821"/>
      <c r="D137" s="822"/>
      <c r="E137" s="59">
        <v>6.8000000000000005E-2</v>
      </c>
      <c r="F137" s="456">
        <f>IF(D133&gt;D129,IF(D130&gt;D129,D131,IF((D129-D130)&gt;D132,(D129-D130-D132)*0.9825+D131-(D129-D130-D132),D131)),D131*0.9825)</f>
        <v>0</v>
      </c>
      <c r="H137" s="166"/>
      <c r="I137" s="166"/>
      <c r="J137" s="63"/>
    </row>
    <row r="138" spans="1:11" s="58" customFormat="1" x14ac:dyDescent="0.3">
      <c r="A138">
        <v>12</v>
      </c>
      <c r="B138" s="820" t="s">
        <v>192</v>
      </c>
      <c r="C138" s="821"/>
      <c r="D138" s="822"/>
      <c r="E138" s="59">
        <v>6.8000000000000005E-2</v>
      </c>
      <c r="F138" s="457">
        <f>IF(D133&lt;D129,D132*0.9825,IF(D130&gt;D129,D132,IF((D129-D130)&gt;D132,D132*0.9825,(D129-D130)*0.9825+D132-(D129-D130))))</f>
        <v>0</v>
      </c>
      <c r="H138" s="63"/>
    </row>
    <row r="139" spans="1:11" s="58" customFormat="1" x14ac:dyDescent="0.3">
      <c r="A139">
        <v>13</v>
      </c>
      <c r="B139" s="820" t="s">
        <v>193</v>
      </c>
      <c r="C139" s="821"/>
      <c r="D139" s="822"/>
      <c r="E139" s="59">
        <v>2.9000000000000001E-2</v>
      </c>
      <c r="F139" s="61">
        <f>F136</f>
        <v>6001.88</v>
      </c>
    </row>
    <row r="140" spans="1:11" s="58" customFormat="1" x14ac:dyDescent="0.3">
      <c r="A140">
        <v>14</v>
      </c>
      <c r="B140" s="820" t="s">
        <v>194</v>
      </c>
      <c r="C140" s="821"/>
      <c r="D140" s="822"/>
      <c r="E140" s="59">
        <v>2.9000000000000001E-2</v>
      </c>
      <c r="F140" s="61">
        <f>F137+F138</f>
        <v>0</v>
      </c>
    </row>
    <row r="141" spans="1:11" s="58" customFormat="1" x14ac:dyDescent="0.3">
      <c r="A141">
        <v>15</v>
      </c>
      <c r="B141" s="820" t="s">
        <v>195</v>
      </c>
      <c r="C141" s="821"/>
      <c r="D141" s="822"/>
      <c r="E141" s="183">
        <f>'HEURES SUPPLEMENTAIRES '!D57</f>
        <v>0.1104</v>
      </c>
      <c r="F141" s="61">
        <f>D131</f>
        <v>0</v>
      </c>
    </row>
    <row r="143" spans="1:11" x14ac:dyDescent="0.3">
      <c r="A143" t="s">
        <v>754</v>
      </c>
    </row>
    <row r="144" spans="1:11" x14ac:dyDescent="0.3">
      <c r="A144" s="575">
        <v>45778</v>
      </c>
      <c r="B144" t="s">
        <v>755</v>
      </c>
    </row>
    <row r="145" spans="1:2" x14ac:dyDescent="0.3">
      <c r="A145" s="576">
        <f>IF('Masque de Saisie'!G9&lt;20,IF('Masque de Saisie'!E38&lt;A144,('BP FORMAT JUILLET 2023'!G20+'BP FORMAT JUILLET 2023'!G21+'BP FORMAT JUILLET 2023'!G22)*1.5,0),IF('Masque de Saisie'!G9&gt;=250,0,0.5*('BP FORMAT JUILLET 2023'!G20+'BP FORMAT JUILLET 2023'!G21+'BP FORMAT JUILLET 2023'!G22)))</f>
        <v>0</v>
      </c>
      <c r="B145" t="s">
        <v>756</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0D6DA-2D0A-4E6A-B0F3-C0DB128DDDCA}">
  <dimension ref="A1:R139"/>
  <sheetViews>
    <sheetView tabSelected="1" topLeftCell="A61" workbookViewId="0">
      <selection activeCell="E63" sqref="E63"/>
    </sheetView>
  </sheetViews>
  <sheetFormatPr baseColWidth="10" defaultColWidth="11.44140625" defaultRowHeight="14.4" x14ac:dyDescent="0.25"/>
  <cols>
    <col min="1" max="1" width="17.109375" style="994" customWidth="1"/>
    <col min="2" max="2" width="22.33203125" style="994" customWidth="1"/>
    <col min="3" max="3" width="11" style="992" customWidth="1"/>
    <col min="4" max="4" width="9.109375" style="993" customWidth="1"/>
    <col min="5" max="5" width="9" style="993" customWidth="1"/>
    <col min="6" max="6" width="12.33203125" style="992" customWidth="1"/>
    <col min="7" max="7" width="12.44140625" style="992" customWidth="1"/>
    <col min="8" max="8" width="8.44140625" style="990" customWidth="1"/>
    <col min="9" max="9" width="8.109375" style="990" bestFit="1" customWidth="1"/>
    <col min="10" max="10" width="11.109375" style="990" customWidth="1"/>
    <col min="11" max="11" width="12.88671875" style="990" hidden="1" customWidth="1"/>
    <col min="12" max="12" width="0.44140625" style="990" customWidth="1"/>
    <col min="13" max="13" width="12.88671875" style="990" customWidth="1"/>
    <col min="14" max="16384" width="11.44140625" style="990"/>
  </cols>
  <sheetData>
    <row r="1" spans="1:10" ht="15.75" customHeight="1" x14ac:dyDescent="0.3">
      <c r="A1" s="1151" t="s">
        <v>237</v>
      </c>
      <c r="B1" s="1151"/>
      <c r="C1" s="1151"/>
      <c r="D1" s="1151"/>
      <c r="E1" s="1151"/>
      <c r="F1" s="1151"/>
      <c r="G1" s="1151"/>
      <c r="H1" s="1151"/>
      <c r="I1" s="1151"/>
      <c r="J1" s="1151"/>
    </row>
    <row r="2" spans="1:10" ht="15.75" customHeight="1" x14ac:dyDescent="0.3">
      <c r="A2" s="1152" t="s">
        <v>0</v>
      </c>
      <c r="B2" s="1153"/>
      <c r="C2" s="1153"/>
      <c r="D2" s="1154"/>
      <c r="E2" s="1082"/>
      <c r="F2" s="1155" t="s">
        <v>1</v>
      </c>
      <c r="G2" s="1156"/>
      <c r="H2" s="1156"/>
      <c r="I2" s="1156"/>
      <c r="J2" s="1157"/>
    </row>
    <row r="3" spans="1:10" ht="15.75" customHeight="1" x14ac:dyDescent="0.25">
      <c r="A3" s="1083" t="s">
        <v>326</v>
      </c>
      <c r="B3" s="682" t="s">
        <v>872</v>
      </c>
      <c r="C3" s="683"/>
      <c r="D3" s="684"/>
      <c r="E3" s="1084"/>
      <c r="F3" s="1085" t="s">
        <v>326</v>
      </c>
      <c r="G3" s="669" t="s">
        <v>198</v>
      </c>
      <c r="H3" s="669"/>
      <c r="I3" s="669"/>
      <c r="J3" s="669"/>
    </row>
    <row r="4" spans="1:10" ht="15.75" customHeight="1" x14ac:dyDescent="0.25">
      <c r="A4" s="1083" t="s">
        <v>327</v>
      </c>
      <c r="B4" s="682" t="s">
        <v>873</v>
      </c>
      <c r="C4" s="683"/>
      <c r="D4" s="684"/>
      <c r="E4" s="1084"/>
      <c r="F4" s="1085" t="s">
        <v>338</v>
      </c>
      <c r="G4" s="669" t="s">
        <v>868</v>
      </c>
      <c r="H4" s="669"/>
      <c r="I4" s="669"/>
      <c r="J4" s="669"/>
    </row>
    <row r="5" spans="1:10" ht="15.75" customHeight="1" x14ac:dyDescent="0.25">
      <c r="A5" s="1083"/>
      <c r="B5" s="666"/>
      <c r="C5" s="667"/>
      <c r="D5" s="668"/>
      <c r="E5" s="1084"/>
      <c r="F5" s="1085" t="s">
        <v>339</v>
      </c>
      <c r="G5" s="669" t="s">
        <v>870</v>
      </c>
      <c r="H5" s="669"/>
      <c r="I5" s="669"/>
      <c r="J5" s="669"/>
    </row>
    <row r="6" spans="1:10" ht="15.75" customHeight="1" x14ac:dyDescent="0.25">
      <c r="A6" s="1083" t="s">
        <v>6</v>
      </c>
      <c r="B6" s="670">
        <v>34464426500029</v>
      </c>
      <c r="C6" s="671"/>
      <c r="D6" s="672"/>
      <c r="E6" s="1086"/>
      <c r="F6" s="1085" t="s">
        <v>877</v>
      </c>
      <c r="G6" s="669">
        <v>520</v>
      </c>
      <c r="H6" s="669"/>
      <c r="I6" s="669"/>
      <c r="J6" s="669"/>
    </row>
    <row r="7" spans="1:10" ht="15.75" customHeight="1" x14ac:dyDescent="0.25">
      <c r="A7" s="1083" t="s">
        <v>8</v>
      </c>
      <c r="B7" s="666" t="s">
        <v>874</v>
      </c>
      <c r="C7" s="667"/>
      <c r="D7" s="668"/>
      <c r="E7" s="1084"/>
      <c r="F7" s="1085" t="s">
        <v>878</v>
      </c>
      <c r="G7" s="673" t="s">
        <v>871</v>
      </c>
      <c r="H7" s="673"/>
      <c r="I7" s="673"/>
      <c r="J7" s="673"/>
    </row>
    <row r="8" spans="1:10" ht="15.75" customHeight="1" x14ac:dyDescent="0.25">
      <c r="A8" s="1083" t="s">
        <v>10</v>
      </c>
      <c r="B8" s="670"/>
      <c r="C8" s="671"/>
      <c r="D8" s="672"/>
      <c r="E8" s="1086"/>
      <c r="F8" s="1087" t="s">
        <v>327</v>
      </c>
      <c r="G8" s="669" t="s">
        <v>869</v>
      </c>
      <c r="H8" s="669"/>
      <c r="I8" s="669"/>
      <c r="J8" s="669"/>
    </row>
    <row r="9" spans="1:10" ht="15.75" customHeight="1" x14ac:dyDescent="0.25">
      <c r="A9" s="1083" t="s">
        <v>11</v>
      </c>
      <c r="B9" s="1144">
        <f>'Masque de Saisie'!G9</f>
        <v>15</v>
      </c>
      <c r="C9" s="1149" t="s">
        <v>879</v>
      </c>
      <c r="D9" s="1150"/>
      <c r="E9" s="1084"/>
      <c r="F9" s="691" t="s">
        <v>12</v>
      </c>
      <c r="G9" s="692"/>
      <c r="H9" s="1088"/>
      <c r="I9" s="1089">
        <v>2</v>
      </c>
      <c r="J9" s="1089" t="s">
        <v>226</v>
      </c>
    </row>
    <row r="10" spans="1:10" ht="15.75" customHeight="1" x14ac:dyDescent="0.25">
      <c r="A10" s="1145" t="s">
        <v>13</v>
      </c>
      <c r="B10" s="1095"/>
      <c r="C10" s="1089" t="s">
        <v>14</v>
      </c>
      <c r="D10" s="1142">
        <f>'Masque de Saisie'!E43</f>
        <v>11.88</v>
      </c>
      <c r="E10" s="1084"/>
      <c r="F10" s="666" t="s">
        <v>238</v>
      </c>
      <c r="G10" s="668"/>
      <c r="H10" s="1135">
        <f>'Masque de Saisie'!E38</f>
        <v>45658</v>
      </c>
      <c r="I10" s="1091" t="s">
        <v>15</v>
      </c>
      <c r="J10" s="1135">
        <f>'Masque de Saisie'!E39</f>
        <v>45688</v>
      </c>
    </row>
    <row r="11" spans="1:10" ht="30" customHeight="1" x14ac:dyDescent="0.25">
      <c r="A11" s="1092"/>
      <c r="B11" s="1184" t="s">
        <v>875</v>
      </c>
      <c r="C11" s="1185"/>
      <c r="D11" s="1186"/>
      <c r="E11" s="1093"/>
      <c r="F11" s="1092" t="s">
        <v>16</v>
      </c>
      <c r="G11" s="1136">
        <f>'Masque de Saisie'!E40</f>
        <v>45688</v>
      </c>
      <c r="H11" s="1022"/>
      <c r="I11" s="1022"/>
      <c r="J11" s="1137"/>
    </row>
    <row r="12" spans="1:10" ht="9.75" customHeight="1" x14ac:dyDescent="0.25">
      <c r="A12" s="1147"/>
      <c r="B12" s="1148"/>
      <c r="C12" s="1148"/>
      <c r="D12" s="1148"/>
      <c r="E12" s="1148"/>
      <c r="F12" s="1148"/>
      <c r="G12" s="1148"/>
      <c r="H12" s="1148"/>
      <c r="I12" s="1148"/>
      <c r="J12" s="1148"/>
    </row>
    <row r="13" spans="1:10" ht="19.2" customHeight="1" x14ac:dyDescent="0.25">
      <c r="A13" s="685" t="s">
        <v>884</v>
      </c>
      <c r="B13" s="686"/>
      <c r="C13" s="686"/>
      <c r="D13" s="686"/>
      <c r="E13" s="686"/>
      <c r="F13" s="687"/>
      <c r="G13" s="1095"/>
      <c r="H13" s="1092" t="s">
        <v>17</v>
      </c>
      <c r="I13" s="1096"/>
      <c r="J13" s="1097">
        <v>1500</v>
      </c>
    </row>
    <row r="14" spans="1:10" ht="26.4" hidden="1" customHeight="1" x14ac:dyDescent="0.25">
      <c r="A14" s="685" t="s">
        <v>239</v>
      </c>
      <c r="B14" s="686"/>
      <c r="C14" s="686"/>
      <c r="D14" s="686"/>
      <c r="E14" s="686"/>
      <c r="F14" s="687"/>
      <c r="G14" s="1092"/>
      <c r="H14" s="1092"/>
      <c r="I14" s="1096"/>
      <c r="J14" s="1097"/>
    </row>
    <row r="15" spans="1:10" ht="26.4" hidden="1" customHeight="1" x14ac:dyDescent="0.25">
      <c r="A15" s="685" t="s">
        <v>880</v>
      </c>
      <c r="B15" s="686"/>
      <c r="C15" s="686"/>
      <c r="D15" s="686"/>
      <c r="E15" s="686"/>
      <c r="F15" s="687"/>
      <c r="G15" s="1098"/>
      <c r="H15" s="1099"/>
      <c r="I15" s="1096"/>
      <c r="J15" s="1097"/>
    </row>
    <row r="16" spans="1:10" ht="26.4" hidden="1" customHeight="1" x14ac:dyDescent="0.25">
      <c r="A16" s="685" t="s">
        <v>881</v>
      </c>
      <c r="B16" s="686"/>
      <c r="C16" s="686"/>
      <c r="D16" s="686"/>
      <c r="E16" s="686"/>
      <c r="F16" s="687"/>
      <c r="G16" s="1098"/>
      <c r="H16" s="1099"/>
      <c r="I16" s="1096"/>
      <c r="J16" s="1097"/>
    </row>
    <row r="17" spans="1:10" ht="26.4" hidden="1" customHeight="1" x14ac:dyDescent="0.25">
      <c r="A17" s="685" t="s">
        <v>18</v>
      </c>
      <c r="B17" s="686"/>
      <c r="C17" s="686"/>
      <c r="D17" s="686"/>
      <c r="E17" s="686"/>
      <c r="F17" s="687"/>
      <c r="G17" s="1098"/>
      <c r="H17" s="1099" t="s">
        <v>17</v>
      </c>
      <c r="I17" s="1096"/>
      <c r="J17" s="1097"/>
    </row>
    <row r="18" spans="1:10" ht="26.4" hidden="1" customHeight="1" x14ac:dyDescent="0.25">
      <c r="A18" s="685" t="s">
        <v>240</v>
      </c>
      <c r="B18" s="686"/>
      <c r="C18" s="686"/>
      <c r="D18" s="686"/>
      <c r="E18" s="686"/>
      <c r="F18" s="687"/>
      <c r="G18" s="1098"/>
      <c r="H18" s="1099" t="s">
        <v>17</v>
      </c>
      <c r="I18" s="1096"/>
      <c r="J18" s="1097">
        <v>0</v>
      </c>
    </row>
    <row r="19" spans="1:10" ht="26.4" hidden="1" customHeight="1" x14ac:dyDescent="0.25">
      <c r="A19" s="685" t="s">
        <v>241</v>
      </c>
      <c r="B19" s="686"/>
      <c r="C19" s="686"/>
      <c r="D19" s="686"/>
      <c r="E19" s="686"/>
      <c r="F19" s="687"/>
      <c r="G19" s="1098"/>
      <c r="H19" s="1099" t="s">
        <v>17</v>
      </c>
      <c r="I19" s="1096"/>
      <c r="J19" s="1097">
        <v>0</v>
      </c>
    </row>
    <row r="20" spans="1:10" ht="26.4" hidden="1" customHeight="1" x14ac:dyDescent="0.25">
      <c r="A20" s="685" t="s">
        <v>242</v>
      </c>
      <c r="B20" s="686"/>
      <c r="C20" s="686"/>
      <c r="D20" s="686"/>
      <c r="E20" s="686"/>
      <c r="F20" s="687"/>
      <c r="G20" s="1098"/>
      <c r="H20" s="1099" t="s">
        <v>17</v>
      </c>
      <c r="I20" s="1096"/>
      <c r="J20" s="1097">
        <v>0</v>
      </c>
    </row>
    <row r="21" spans="1:10" ht="26.4" hidden="1" customHeight="1" x14ac:dyDescent="0.25">
      <c r="A21" s="685" t="s">
        <v>243</v>
      </c>
      <c r="B21" s="686"/>
      <c r="C21" s="686"/>
      <c r="D21" s="686"/>
      <c r="E21" s="686"/>
      <c r="F21" s="687"/>
      <c r="G21" s="1143">
        <v>0</v>
      </c>
      <c r="H21" s="1099" t="s">
        <v>17</v>
      </c>
      <c r="I21" s="1096">
        <v>12.362366</v>
      </c>
      <c r="J21" s="1097">
        <v>0</v>
      </c>
    </row>
    <row r="22" spans="1:10" ht="26.4" hidden="1" customHeight="1" x14ac:dyDescent="0.25">
      <c r="A22" s="685" t="s">
        <v>244</v>
      </c>
      <c r="B22" s="686"/>
      <c r="C22" s="686"/>
      <c r="D22" s="686"/>
      <c r="E22" s="686"/>
      <c r="F22" s="687"/>
      <c r="G22" s="1098"/>
      <c r="H22" s="1099" t="s">
        <v>19</v>
      </c>
      <c r="I22" s="1092"/>
      <c r="J22" s="1097"/>
    </row>
    <row r="23" spans="1:10" ht="26.4" hidden="1" customHeight="1" x14ac:dyDescent="0.25">
      <c r="A23" s="685" t="s">
        <v>882</v>
      </c>
      <c r="B23" s="686"/>
      <c r="C23" s="686"/>
      <c r="D23" s="686"/>
      <c r="E23" s="686"/>
      <c r="F23" s="687"/>
      <c r="G23" s="1094"/>
      <c r="H23" s="1100"/>
      <c r="I23" s="1090"/>
      <c r="J23" s="1101"/>
    </row>
    <row r="24" spans="1:10" ht="26.4" hidden="1" customHeight="1" x14ac:dyDescent="0.25">
      <c r="A24" s="685" t="s">
        <v>20</v>
      </c>
      <c r="B24" s="686"/>
      <c r="C24" s="686"/>
      <c r="D24" s="686"/>
      <c r="E24" s="686"/>
      <c r="F24" s="687"/>
      <c r="G24" s="1094"/>
      <c r="H24" s="1100"/>
      <c r="I24" s="1090"/>
      <c r="J24" s="1101"/>
    </row>
    <row r="25" spans="1:10" ht="26.4" hidden="1" customHeight="1" x14ac:dyDescent="0.25">
      <c r="A25" s="685" t="s">
        <v>21</v>
      </c>
      <c r="B25" s="686"/>
      <c r="C25" s="686"/>
      <c r="D25" s="686"/>
      <c r="E25" s="686"/>
      <c r="F25" s="687"/>
      <c r="G25" s="1094"/>
      <c r="H25" s="1100"/>
      <c r="I25" s="1090"/>
      <c r="J25" s="1101"/>
    </row>
    <row r="26" spans="1:10" ht="26.4" hidden="1" customHeight="1" x14ac:dyDescent="0.25">
      <c r="A26" s="685" t="s">
        <v>22</v>
      </c>
      <c r="B26" s="686"/>
      <c r="C26" s="686"/>
      <c r="D26" s="686"/>
      <c r="E26" s="686"/>
      <c r="F26" s="687"/>
      <c r="G26" s="1094"/>
      <c r="H26" s="1100"/>
      <c r="I26" s="1090"/>
      <c r="J26" s="1101"/>
    </row>
    <row r="27" spans="1:10" ht="26.4" hidden="1" customHeight="1" x14ac:dyDescent="0.25">
      <c r="A27" s="685" t="s">
        <v>23</v>
      </c>
      <c r="B27" s="686"/>
      <c r="C27" s="686"/>
      <c r="D27" s="686"/>
      <c r="E27" s="686"/>
      <c r="F27" s="687"/>
      <c r="G27" s="1094"/>
      <c r="H27" s="1100"/>
      <c r="I27" s="1090"/>
      <c r="J27" s="1101"/>
    </row>
    <row r="28" spans="1:10" ht="26.4" hidden="1" customHeight="1" x14ac:dyDescent="0.25">
      <c r="A28" s="685" t="s">
        <v>24</v>
      </c>
      <c r="B28" s="686"/>
      <c r="C28" s="686"/>
      <c r="D28" s="686"/>
      <c r="E28" s="686"/>
      <c r="F28" s="687"/>
      <c r="G28" s="1094"/>
      <c r="H28" s="1100"/>
      <c r="I28" s="1090"/>
      <c r="J28" s="1101"/>
    </row>
    <row r="29" spans="1:10" ht="26.4" hidden="1" customHeight="1" x14ac:dyDescent="0.25">
      <c r="A29" s="685" t="s">
        <v>25</v>
      </c>
      <c r="B29" s="686"/>
      <c r="C29" s="686"/>
      <c r="D29" s="686"/>
      <c r="E29" s="686"/>
      <c r="F29" s="687"/>
      <c r="G29" s="1094"/>
      <c r="H29" s="1100"/>
      <c r="I29" s="1090"/>
      <c r="J29" s="1101"/>
    </row>
    <row r="30" spans="1:10" ht="26.4" hidden="1" customHeight="1" x14ac:dyDescent="0.25">
      <c r="A30" s="685" t="s">
        <v>26</v>
      </c>
      <c r="B30" s="686"/>
      <c r="C30" s="686"/>
      <c r="D30" s="686"/>
      <c r="E30" s="686"/>
      <c r="F30" s="687"/>
      <c r="G30" s="1094"/>
      <c r="H30" s="1100"/>
      <c r="I30" s="1090"/>
      <c r="J30" s="1101"/>
    </row>
    <row r="31" spans="1:10" ht="26.4" hidden="1" customHeight="1" x14ac:dyDescent="0.25">
      <c r="A31" s="685" t="s">
        <v>27</v>
      </c>
      <c r="B31" s="686"/>
      <c r="C31" s="686"/>
      <c r="D31" s="686"/>
      <c r="E31" s="686"/>
      <c r="F31" s="687"/>
      <c r="G31" s="1094"/>
      <c r="H31" s="1100"/>
      <c r="I31" s="1090"/>
      <c r="J31" s="1101"/>
    </row>
    <row r="32" spans="1:10" ht="26.4" hidden="1" customHeight="1" x14ac:dyDescent="0.25">
      <c r="A32" s="685"/>
      <c r="B32" s="686"/>
      <c r="C32" s="686"/>
      <c r="D32" s="686"/>
      <c r="E32" s="686"/>
      <c r="F32" s="687"/>
      <c r="G32" s="1094"/>
      <c r="H32" s="1100"/>
      <c r="I32" s="1090"/>
      <c r="J32" s="1101"/>
    </row>
    <row r="33" spans="1:10" ht="15" customHeight="1" x14ac:dyDescent="0.3">
      <c r="A33" s="702" t="s">
        <v>28</v>
      </c>
      <c r="B33" s="703"/>
      <c r="C33" s="1102">
        <f>'Masque de Saisie'!E44</f>
        <v>3925</v>
      </c>
      <c r="D33" s="807" t="s">
        <v>29</v>
      </c>
      <c r="E33" s="808"/>
      <c r="F33" s="808"/>
      <c r="G33" s="808"/>
      <c r="H33" s="808"/>
      <c r="I33" s="809"/>
      <c r="J33" s="1134">
        <v>1500</v>
      </c>
    </row>
    <row r="34" spans="1:10" ht="10.5" customHeight="1" x14ac:dyDescent="0.25">
      <c r="A34" s="1003"/>
      <c r="B34" s="1008"/>
      <c r="C34" s="1008"/>
      <c r="D34" s="1008"/>
      <c r="E34" s="1008"/>
      <c r="F34" s="1008"/>
      <c r="G34" s="1008"/>
      <c r="H34" s="1008"/>
      <c r="I34" s="1008"/>
      <c r="J34" s="1004"/>
    </row>
    <row r="35" spans="1:10" ht="30" customHeight="1" x14ac:dyDescent="0.3">
      <c r="A35" s="813" t="s">
        <v>295</v>
      </c>
      <c r="B35" s="814"/>
      <c r="C35" s="1132" t="s">
        <v>31</v>
      </c>
      <c r="D35" s="1133" t="s">
        <v>32</v>
      </c>
      <c r="E35" s="1133" t="s">
        <v>33</v>
      </c>
      <c r="F35" s="1132" t="s">
        <v>34</v>
      </c>
      <c r="G35" s="1132" t="s">
        <v>35</v>
      </c>
      <c r="H35" s="1073"/>
      <c r="I35" s="1009"/>
      <c r="J35" s="1009"/>
    </row>
    <row r="36" spans="1:10" ht="17.399999999999999" customHeight="1" x14ac:dyDescent="0.3">
      <c r="A36" s="815" t="s">
        <v>36</v>
      </c>
      <c r="B36" s="816"/>
      <c r="C36" s="817"/>
      <c r="D36" s="818"/>
      <c r="E36" s="818"/>
      <c r="F36" s="818"/>
      <c r="G36" s="819"/>
      <c r="H36" s="1009"/>
      <c r="I36" s="1009"/>
      <c r="J36" s="1009"/>
    </row>
    <row r="37" spans="1:10" ht="19.8" customHeight="1" x14ac:dyDescent="0.3">
      <c r="A37" s="721" t="s">
        <v>278</v>
      </c>
      <c r="B37" s="716"/>
      <c r="C37" s="1103">
        <v>1500</v>
      </c>
      <c r="D37" s="1104"/>
      <c r="E37" s="1104">
        <v>7.0000000000000007E-2</v>
      </c>
      <c r="F37" s="1105"/>
      <c r="G37" s="1103">
        <f>ROUND(C37*E37,2)</f>
        <v>105</v>
      </c>
      <c r="H37" s="1009"/>
      <c r="I37" s="1009"/>
      <c r="J37" s="1031"/>
    </row>
    <row r="38" spans="1:10" ht="19.8" customHeight="1" x14ac:dyDescent="0.3">
      <c r="A38" s="721" t="s">
        <v>205</v>
      </c>
      <c r="B38" s="716"/>
      <c r="C38" s="1172">
        <v>1500</v>
      </c>
      <c r="D38" s="1104"/>
      <c r="E38" s="1104">
        <v>0.06</v>
      </c>
      <c r="F38" s="1105"/>
      <c r="G38" s="1170">
        <f t="shared" ref="G38:G65" si="0">ROUND(C38*E38,2)</f>
        <v>90</v>
      </c>
      <c r="H38" s="1009"/>
      <c r="I38" s="1009"/>
      <c r="J38" s="1031"/>
    </row>
    <row r="39" spans="1:10" ht="19.8" hidden="1" customHeight="1" x14ac:dyDescent="0.3">
      <c r="A39" s="818"/>
      <c r="B39" s="819"/>
      <c r="C39" s="1103"/>
      <c r="D39" s="1106"/>
      <c r="E39" s="1106"/>
      <c r="F39" s="1105">
        <v>0</v>
      </c>
      <c r="G39" s="1170">
        <f t="shared" si="0"/>
        <v>0</v>
      </c>
      <c r="H39" s="1009"/>
      <c r="I39" s="1009"/>
      <c r="J39" s="1017"/>
    </row>
    <row r="40" spans="1:10" ht="19.8" hidden="1" customHeight="1" x14ac:dyDescent="0.3">
      <c r="A40" s="721" t="s">
        <v>255</v>
      </c>
      <c r="B40" s="716"/>
      <c r="C40" s="1103">
        <v>0</v>
      </c>
      <c r="D40" s="1104">
        <v>0</v>
      </c>
      <c r="E40" s="1104">
        <v>0</v>
      </c>
      <c r="F40" s="1105">
        <v>0</v>
      </c>
      <c r="G40" s="1170">
        <f t="shared" si="0"/>
        <v>0</v>
      </c>
      <c r="H40" s="1009"/>
      <c r="I40" s="1009"/>
      <c r="J40" s="1017"/>
    </row>
    <row r="41" spans="1:10" ht="19.8" hidden="1" customHeight="1" x14ac:dyDescent="0.3">
      <c r="A41" s="761"/>
      <c r="B41" s="761"/>
      <c r="C41" s="1103"/>
      <c r="D41" s="1104"/>
      <c r="E41" s="1104"/>
      <c r="F41" s="1105">
        <v>0</v>
      </c>
      <c r="G41" s="1170">
        <f t="shared" si="0"/>
        <v>0</v>
      </c>
      <c r="H41" s="1009"/>
      <c r="I41" s="1009"/>
      <c r="J41" s="1017"/>
    </row>
    <row r="42" spans="1:10" ht="19.8" hidden="1" customHeight="1" x14ac:dyDescent="0.3">
      <c r="A42" s="761"/>
      <c r="B42" s="761"/>
      <c r="C42" s="1106"/>
      <c r="D42" s="1106"/>
      <c r="E42" s="1106"/>
      <c r="F42" s="1105">
        <v>0</v>
      </c>
      <c r="G42" s="1170">
        <f t="shared" si="0"/>
        <v>0</v>
      </c>
      <c r="H42" s="1009"/>
      <c r="I42" s="1009"/>
      <c r="J42" s="1017"/>
    </row>
    <row r="43" spans="1:10" ht="16.8" customHeight="1" x14ac:dyDescent="0.3">
      <c r="A43" s="721" t="s">
        <v>201</v>
      </c>
      <c r="B43" s="716"/>
      <c r="C43" s="1103">
        <v>1500</v>
      </c>
      <c r="D43" s="1104">
        <v>8.0000000000000002E-3</v>
      </c>
      <c r="E43" s="1104">
        <v>8.0000000000000002E-3</v>
      </c>
      <c r="F43" s="1105">
        <f>ROUND(C43*D43,2)</f>
        <v>12</v>
      </c>
      <c r="G43" s="1170">
        <f t="shared" si="0"/>
        <v>12</v>
      </c>
      <c r="H43" s="1009"/>
      <c r="I43" s="1009"/>
      <c r="J43" s="1017"/>
    </row>
    <row r="44" spans="1:10" ht="20.399999999999999" customHeight="1" x14ac:dyDescent="0.3">
      <c r="A44" s="708" t="s">
        <v>206</v>
      </c>
      <c r="B44" s="708"/>
      <c r="C44" s="1178"/>
      <c r="D44" s="1104"/>
      <c r="E44" s="1104">
        <v>1.4999999999999999E-2</v>
      </c>
      <c r="F44" s="1171"/>
      <c r="G44" s="1170"/>
      <c r="H44" s="1009"/>
      <c r="I44" s="1009"/>
      <c r="J44" s="1017"/>
    </row>
    <row r="45" spans="1:10" ht="16.8" hidden="1" customHeight="1" x14ac:dyDescent="0.3">
      <c r="A45" s="761" t="s">
        <v>207</v>
      </c>
      <c r="B45" s="761"/>
      <c r="C45" s="1107"/>
      <c r="D45" s="1104">
        <v>0</v>
      </c>
      <c r="E45" s="1104">
        <v>0</v>
      </c>
      <c r="F45" s="1171">
        <f t="shared" ref="F45:F67" si="1">ROUND(C45*D45,2)</f>
        <v>0</v>
      </c>
      <c r="G45" s="1170">
        <f t="shared" si="0"/>
        <v>0</v>
      </c>
      <c r="H45" s="1009"/>
      <c r="I45" s="1009"/>
      <c r="J45" s="1017"/>
    </row>
    <row r="46" spans="1:10" ht="16.8" hidden="1" customHeight="1" x14ac:dyDescent="0.3">
      <c r="A46" s="761" t="s">
        <v>208</v>
      </c>
      <c r="B46" s="761"/>
      <c r="C46" s="1103"/>
      <c r="D46" s="1104">
        <v>0</v>
      </c>
      <c r="E46" s="1104">
        <v>0</v>
      </c>
      <c r="F46" s="1171">
        <f t="shared" si="1"/>
        <v>0</v>
      </c>
      <c r="G46" s="1170">
        <f t="shared" si="0"/>
        <v>0</v>
      </c>
      <c r="H46" s="1009"/>
      <c r="I46" s="1009"/>
      <c r="J46" s="1017"/>
    </row>
    <row r="47" spans="1:10" ht="16.8" hidden="1" customHeight="1" x14ac:dyDescent="0.3">
      <c r="A47" s="762"/>
      <c r="B47" s="762"/>
      <c r="C47" s="1103"/>
      <c r="D47" s="1104"/>
      <c r="E47" s="1104"/>
      <c r="F47" s="1171">
        <f t="shared" si="1"/>
        <v>0</v>
      </c>
      <c r="G47" s="1170">
        <f t="shared" si="0"/>
        <v>0</v>
      </c>
      <c r="H47" s="1009"/>
      <c r="I47" s="1009"/>
      <c r="J47" s="1017"/>
    </row>
    <row r="48" spans="1:10" ht="16.8" hidden="1" customHeight="1" x14ac:dyDescent="0.3">
      <c r="A48" s="1021"/>
      <c r="B48" s="1021"/>
      <c r="C48" s="1103"/>
      <c r="D48" s="1106"/>
      <c r="E48" s="1106"/>
      <c r="F48" s="1171">
        <f t="shared" si="1"/>
        <v>0</v>
      </c>
      <c r="G48" s="1170">
        <f t="shared" si="0"/>
        <v>0</v>
      </c>
      <c r="H48" s="1009"/>
      <c r="I48" s="1009"/>
      <c r="J48" s="1017"/>
    </row>
    <row r="49" spans="1:17" ht="20.399999999999999" customHeight="1" x14ac:dyDescent="0.3">
      <c r="A49" s="1161" t="s">
        <v>37</v>
      </c>
      <c r="B49" s="1160"/>
      <c r="C49" s="1108">
        <v>1500</v>
      </c>
      <c r="D49" s="1104"/>
      <c r="E49" s="1104">
        <v>1.2999999999999999E-2</v>
      </c>
      <c r="F49" s="1171"/>
      <c r="G49" s="1170">
        <f t="shared" si="0"/>
        <v>19.5</v>
      </c>
      <c r="H49" s="1009"/>
      <c r="I49" s="1009"/>
      <c r="J49" s="1017"/>
      <c r="K49" s="1009"/>
      <c r="L49" s="789"/>
      <c r="M49" s="1009"/>
      <c r="N49" s="1009"/>
      <c r="O49" s="1009"/>
      <c r="P49" s="1009"/>
      <c r="Q49" s="1009"/>
    </row>
    <row r="50" spans="1:17" ht="19.8" customHeight="1" x14ac:dyDescent="0.3">
      <c r="A50" s="790" t="s">
        <v>38</v>
      </c>
      <c r="B50" s="791"/>
      <c r="C50" s="1109"/>
      <c r="D50" s="1104"/>
      <c r="E50" s="1104"/>
      <c r="F50" s="1171"/>
      <c r="G50" s="1170"/>
      <c r="H50" s="1009"/>
      <c r="I50" s="1009"/>
      <c r="J50" s="1009"/>
      <c r="K50" s="1009"/>
      <c r="L50" s="789"/>
      <c r="M50" s="1009"/>
      <c r="N50" s="1009"/>
      <c r="O50" s="1009"/>
      <c r="P50" s="1009"/>
      <c r="Q50" s="1009"/>
    </row>
    <row r="51" spans="1:17" ht="18.75" customHeight="1" x14ac:dyDescent="0.3">
      <c r="A51" s="767" t="s">
        <v>39</v>
      </c>
      <c r="B51" s="721"/>
      <c r="C51" s="1146"/>
      <c r="D51" s="1104">
        <v>6.9000000000000006E-2</v>
      </c>
      <c r="E51" s="1104">
        <v>8.5500000000000007E-2</v>
      </c>
      <c r="F51" s="1171"/>
      <c r="G51" s="1170"/>
      <c r="H51" s="1009"/>
      <c r="I51" s="1009"/>
      <c r="J51" s="1009"/>
      <c r="K51" s="1009"/>
      <c r="L51" s="1009"/>
      <c r="M51" s="1009"/>
      <c r="N51" s="1009"/>
      <c r="O51" s="1009"/>
      <c r="P51" s="1009"/>
      <c r="Q51" s="1009"/>
    </row>
    <row r="52" spans="1:17" ht="18" customHeight="1" x14ac:dyDescent="0.3">
      <c r="A52" s="767" t="s">
        <v>40</v>
      </c>
      <c r="B52" s="721"/>
      <c r="C52" s="1103">
        <v>1500</v>
      </c>
      <c r="D52" s="1104">
        <v>4.0000000000000001E-3</v>
      </c>
      <c r="E52" s="1104">
        <v>2.0199999999999999E-2</v>
      </c>
      <c r="F52" s="1171">
        <f t="shared" si="1"/>
        <v>6</v>
      </c>
      <c r="G52" s="1170">
        <f t="shared" si="0"/>
        <v>30.3</v>
      </c>
      <c r="H52" s="1009"/>
      <c r="I52" s="1009"/>
      <c r="J52" s="1009"/>
      <c r="K52" s="1009"/>
      <c r="L52" s="1009"/>
      <c r="M52" s="1009"/>
      <c r="N52" s="1009"/>
      <c r="O52" s="1009"/>
      <c r="P52" s="1009"/>
      <c r="Q52" s="1009"/>
    </row>
    <row r="53" spans="1:17" ht="15" customHeight="1" x14ac:dyDescent="0.3">
      <c r="A53" s="767" t="s">
        <v>41</v>
      </c>
      <c r="B53" s="721"/>
      <c r="C53" s="1167"/>
      <c r="D53" s="1110">
        <v>4.0099999999999997E-2</v>
      </c>
      <c r="E53" s="1110">
        <v>6.0100000000000001E-2</v>
      </c>
      <c r="F53" s="1171">
        <f t="shared" si="1"/>
        <v>0</v>
      </c>
      <c r="G53" s="1170">
        <f t="shared" si="0"/>
        <v>0</v>
      </c>
      <c r="H53" s="1033"/>
      <c r="I53" s="1034"/>
      <c r="J53" s="1035"/>
      <c r="K53" s="1035"/>
      <c r="L53" s="1009"/>
      <c r="M53" s="796"/>
      <c r="N53" s="796"/>
      <c r="O53" s="796"/>
      <c r="P53" s="1009"/>
      <c r="Q53" s="1009"/>
    </row>
    <row r="54" spans="1:17" ht="17.399999999999999" customHeight="1" x14ac:dyDescent="0.3">
      <c r="A54" s="767" t="s">
        <v>42</v>
      </c>
      <c r="B54" s="721"/>
      <c r="C54" s="1111">
        <v>1500</v>
      </c>
      <c r="D54" s="1110">
        <v>9.8600000000000007E-2</v>
      </c>
      <c r="E54" s="1110">
        <v>0.14779999999999999</v>
      </c>
      <c r="F54" s="1171">
        <f t="shared" si="1"/>
        <v>147.9</v>
      </c>
      <c r="G54" s="1170">
        <f t="shared" si="0"/>
        <v>221.7</v>
      </c>
      <c r="H54" s="1033"/>
      <c r="I54" s="1034"/>
      <c r="J54" s="1035"/>
      <c r="K54" s="1035"/>
      <c r="L54" s="1009"/>
      <c r="M54" s="797"/>
      <c r="N54" s="797"/>
      <c r="O54" s="1037"/>
      <c r="P54" s="1038"/>
      <c r="Q54" s="1037"/>
    </row>
    <row r="55" spans="1:17" ht="17.399999999999999" hidden="1" customHeight="1" x14ac:dyDescent="0.3">
      <c r="A55" s="804"/>
      <c r="B55" s="805"/>
      <c r="C55" s="1103"/>
      <c r="D55" s="1112"/>
      <c r="E55" s="1112">
        <v>0</v>
      </c>
      <c r="F55" s="1171">
        <f t="shared" si="1"/>
        <v>0</v>
      </c>
      <c r="G55" s="1170">
        <f t="shared" si="0"/>
        <v>0</v>
      </c>
      <c r="H55" s="1033"/>
      <c r="I55" s="1034"/>
      <c r="J55" s="1035"/>
      <c r="K55" s="1035"/>
      <c r="L55" s="1009"/>
      <c r="M55" s="1036"/>
      <c r="N55" s="1036"/>
      <c r="O55" s="1037"/>
      <c r="P55" s="1038"/>
      <c r="Q55" s="1037"/>
    </row>
    <row r="56" spans="1:17" ht="17.399999999999999" hidden="1" customHeight="1" x14ac:dyDescent="0.3">
      <c r="A56" s="804"/>
      <c r="B56" s="805"/>
      <c r="C56" s="1103"/>
      <c r="D56" s="1112"/>
      <c r="E56" s="1112">
        <v>0</v>
      </c>
      <c r="F56" s="1171">
        <f t="shared" si="1"/>
        <v>0</v>
      </c>
      <c r="G56" s="1170">
        <f t="shared" si="0"/>
        <v>0</v>
      </c>
      <c r="H56" s="1033"/>
      <c r="I56" s="1034"/>
      <c r="J56" s="1035"/>
      <c r="K56" s="1035"/>
      <c r="L56" s="1009"/>
      <c r="M56" s="1036"/>
      <c r="N56" s="1036"/>
      <c r="O56" s="1037"/>
      <c r="P56" s="1038"/>
      <c r="Q56" s="1037"/>
    </row>
    <row r="57" spans="1:17" ht="17.399999999999999" customHeight="1" x14ac:dyDescent="0.3">
      <c r="A57" s="765" t="s">
        <v>43</v>
      </c>
      <c r="B57" s="766"/>
      <c r="C57" s="1103"/>
      <c r="D57" s="1104"/>
      <c r="E57" s="1112"/>
      <c r="F57" s="1171"/>
      <c r="G57" s="1170"/>
      <c r="H57" s="1033"/>
      <c r="I57" s="806"/>
      <c r="J57" s="806"/>
      <c r="K57" s="1009"/>
      <c r="L57" s="1009"/>
      <c r="M57" s="795"/>
      <c r="N57" s="795"/>
      <c r="O57" s="1009"/>
      <c r="P57" s="1040"/>
      <c r="Q57" s="1031"/>
    </row>
    <row r="58" spans="1:17" ht="18.600000000000001" customHeight="1" x14ac:dyDescent="0.3">
      <c r="A58" s="767" t="s">
        <v>256</v>
      </c>
      <c r="B58" s="721"/>
      <c r="C58" s="1103">
        <v>1500</v>
      </c>
      <c r="D58" s="1104"/>
      <c r="E58" s="1079">
        <v>3.4500000000000003E-2</v>
      </c>
      <c r="F58" s="1171"/>
      <c r="G58" s="1170">
        <f t="shared" si="0"/>
        <v>51.75</v>
      </c>
      <c r="H58" s="1033"/>
      <c r="I58" s="1074"/>
      <c r="J58" s="1074"/>
      <c r="K58" s="1009"/>
      <c r="L58" s="1009"/>
      <c r="M58" s="1039"/>
      <c r="N58" s="1039"/>
      <c r="O58" s="1009"/>
      <c r="P58" s="1040"/>
      <c r="Q58" s="1031"/>
    </row>
    <row r="59" spans="1:17" ht="18.600000000000001" customHeight="1" x14ac:dyDescent="0.3">
      <c r="A59" s="767" t="s">
        <v>257</v>
      </c>
      <c r="B59" s="721"/>
      <c r="C59" s="1016">
        <v>1500</v>
      </c>
      <c r="D59" s="1104"/>
      <c r="E59" s="1079">
        <v>1.7999999999999999E-2</v>
      </c>
      <c r="F59" s="1171"/>
      <c r="G59" s="1170">
        <f t="shared" si="0"/>
        <v>27</v>
      </c>
      <c r="H59" s="1033"/>
      <c r="I59" s="1010"/>
      <c r="J59" s="1074"/>
      <c r="K59" s="1009"/>
      <c r="L59" s="1009"/>
      <c r="M59" s="1039"/>
      <c r="N59" s="1039"/>
      <c r="O59" s="1009"/>
      <c r="P59" s="1040"/>
      <c r="Q59" s="1031"/>
    </row>
    <row r="60" spans="1:17" ht="18.600000000000001" customHeight="1" x14ac:dyDescent="0.3">
      <c r="A60" s="765" t="s">
        <v>44</v>
      </c>
      <c r="B60" s="766"/>
      <c r="C60" s="1106"/>
      <c r="D60" s="1113"/>
      <c r="E60" s="1112"/>
      <c r="F60" s="1171"/>
      <c r="G60" s="1170"/>
      <c r="H60" s="1041"/>
      <c r="I60" s="1010"/>
      <c r="J60" s="1074"/>
      <c r="K60" s="1009"/>
      <c r="L60" s="1009"/>
      <c r="M60" s="795"/>
      <c r="N60" s="795"/>
      <c r="O60" s="1042"/>
      <c r="P60" s="1009"/>
      <c r="Q60" s="1009"/>
    </row>
    <row r="61" spans="1:17" ht="18" customHeight="1" x14ac:dyDescent="0.3">
      <c r="A61" s="767" t="s">
        <v>245</v>
      </c>
      <c r="B61" s="721"/>
      <c r="C61" s="1015">
        <v>1500</v>
      </c>
      <c r="D61" s="1112"/>
      <c r="E61" s="1114">
        <v>4.2999999999999997E-2</v>
      </c>
      <c r="F61" s="1171">
        <f t="shared" si="1"/>
        <v>0</v>
      </c>
      <c r="G61" s="1170">
        <f t="shared" si="0"/>
        <v>64.5</v>
      </c>
      <c r="H61" s="1041"/>
      <c r="I61" s="1010"/>
      <c r="J61" s="1074"/>
      <c r="K61" s="1009"/>
      <c r="L61" s="1009"/>
      <c r="M61" s="1039"/>
      <c r="N61" s="1039"/>
      <c r="O61" s="1042"/>
      <c r="P61" s="1009"/>
      <c r="Q61" s="1009"/>
    </row>
    <row r="62" spans="1:17" ht="0.75" customHeight="1" x14ac:dyDescent="0.3">
      <c r="A62" s="767"/>
      <c r="B62" s="721"/>
      <c r="C62" s="1107"/>
      <c r="D62" s="1112"/>
      <c r="E62" s="1114"/>
      <c r="F62" s="1171">
        <f t="shared" si="1"/>
        <v>0</v>
      </c>
      <c r="G62" s="1170">
        <f t="shared" si="0"/>
        <v>0</v>
      </c>
      <c r="H62" s="1041"/>
      <c r="I62" s="1010"/>
      <c r="J62" s="1074"/>
      <c r="K62" s="1009"/>
      <c r="L62" s="1009"/>
      <c r="M62" s="1039"/>
      <c r="N62" s="1039"/>
      <c r="O62" s="1042"/>
      <c r="P62" s="1009"/>
      <c r="Q62" s="1009"/>
    </row>
    <row r="63" spans="1:17" ht="17.25" customHeight="1" x14ac:dyDescent="0.3">
      <c r="A63" s="767" t="s">
        <v>284</v>
      </c>
      <c r="B63" s="721"/>
      <c r="C63" s="1107">
        <v>1500</v>
      </c>
      <c r="D63" s="1115">
        <v>2.4000000000000001E-4</v>
      </c>
      <c r="E63" s="1115">
        <v>3.6000000000000002E-4</v>
      </c>
      <c r="F63" s="1171">
        <f t="shared" si="1"/>
        <v>0.36</v>
      </c>
      <c r="G63" s="1170">
        <f t="shared" si="0"/>
        <v>0.54</v>
      </c>
      <c r="H63" s="1041"/>
      <c r="I63" s="1009"/>
      <c r="J63" s="1017"/>
      <c r="K63" s="1009"/>
      <c r="L63" s="1009"/>
      <c r="M63" s="1039"/>
      <c r="N63" s="1039"/>
      <c r="O63" s="1042"/>
      <c r="P63" s="1009"/>
      <c r="Q63" s="1009"/>
    </row>
    <row r="64" spans="1:17" ht="26.25" customHeight="1" x14ac:dyDescent="0.3">
      <c r="A64" s="765" t="s">
        <v>45</v>
      </c>
      <c r="B64" s="766"/>
      <c r="C64" s="1103"/>
      <c r="D64" s="1103"/>
      <c r="E64" s="1116"/>
      <c r="F64" s="1171"/>
      <c r="G64" s="1170">
        <f>E136</f>
        <v>78.900000000000006</v>
      </c>
      <c r="H64" s="1009"/>
      <c r="I64" s="1009"/>
      <c r="J64" s="1009"/>
      <c r="K64" s="1009"/>
      <c r="L64" s="1009"/>
      <c r="M64" s="795"/>
      <c r="N64" s="795"/>
      <c r="O64" s="1033"/>
      <c r="P64" s="1009"/>
      <c r="Q64" s="1009"/>
    </row>
    <row r="65" spans="1:11" ht="34.5" hidden="1" customHeight="1" x14ac:dyDescent="0.3">
      <c r="A65" s="798" t="s">
        <v>47</v>
      </c>
      <c r="B65" s="799"/>
      <c r="C65" s="1117"/>
      <c r="D65" s="1118"/>
      <c r="E65" s="1119"/>
      <c r="F65" s="1171">
        <f t="shared" si="1"/>
        <v>0</v>
      </c>
      <c r="G65" s="1170">
        <f t="shared" si="0"/>
        <v>0</v>
      </c>
      <c r="H65" s="1009"/>
      <c r="I65" s="1010"/>
      <c r="J65" s="1074"/>
      <c r="K65" s="1009"/>
    </row>
    <row r="66" spans="1:11" ht="22.5" customHeight="1" x14ac:dyDescent="0.3">
      <c r="A66" s="764" t="s">
        <v>48</v>
      </c>
      <c r="B66" s="764"/>
      <c r="C66" s="1111">
        <f>1500*0.9825+G43</f>
        <v>1485.75</v>
      </c>
      <c r="D66" s="1120">
        <v>6.8000000000000005E-2</v>
      </c>
      <c r="E66" s="1103"/>
      <c r="F66" s="1171">
        <f t="shared" si="1"/>
        <v>101.03</v>
      </c>
      <c r="G66" s="1103"/>
      <c r="H66" s="1009"/>
      <c r="I66" s="1010"/>
      <c r="J66" s="1074"/>
      <c r="K66" s="1009"/>
    </row>
    <row r="67" spans="1:11" ht="22.2" customHeight="1" x14ac:dyDescent="0.3">
      <c r="A67" s="764" t="s">
        <v>49</v>
      </c>
      <c r="B67" s="764"/>
      <c r="C67" s="1111">
        <f>+C66</f>
        <v>1485.75</v>
      </c>
      <c r="D67" s="1120">
        <v>2.9000000000000001E-2</v>
      </c>
      <c r="E67" s="1103"/>
      <c r="F67" s="1171">
        <f t="shared" si="1"/>
        <v>43.09</v>
      </c>
      <c r="G67" s="1103"/>
      <c r="H67" s="1009"/>
      <c r="I67" s="1010"/>
      <c r="J67" s="1074"/>
      <c r="K67" s="1031"/>
    </row>
    <row r="68" spans="1:11" ht="22.5" hidden="1" customHeight="1" x14ac:dyDescent="0.3">
      <c r="A68" s="764" t="s">
        <v>248</v>
      </c>
      <c r="B68" s="764"/>
      <c r="C68" s="1111">
        <v>0</v>
      </c>
      <c r="D68" s="1120">
        <v>6.8000000000000005E-2</v>
      </c>
      <c r="E68" s="1103"/>
      <c r="F68" s="1105">
        <v>0</v>
      </c>
      <c r="G68" s="1103"/>
      <c r="H68" s="1009"/>
      <c r="I68" s="1009"/>
      <c r="J68" s="1031"/>
      <c r="K68" s="1031"/>
    </row>
    <row r="69" spans="1:11" ht="21.6" hidden="1" customHeight="1" x14ac:dyDescent="0.3">
      <c r="A69" s="764" t="s">
        <v>249</v>
      </c>
      <c r="B69" s="764"/>
      <c r="C69" s="1111">
        <v>0</v>
      </c>
      <c r="D69" s="1120">
        <v>6.8000000000000005E-2</v>
      </c>
      <c r="E69" s="1103"/>
      <c r="F69" s="1105">
        <v>0</v>
      </c>
      <c r="G69" s="1103"/>
      <c r="H69" s="1009"/>
      <c r="I69" s="1009"/>
      <c r="J69" s="1031"/>
      <c r="K69" s="1031"/>
    </row>
    <row r="70" spans="1:11" ht="27.6" hidden="1" customHeight="1" x14ac:dyDescent="0.3">
      <c r="A70" s="764" t="s">
        <v>250</v>
      </c>
      <c r="B70" s="764"/>
      <c r="C70" s="1103">
        <v>0</v>
      </c>
      <c r="D70" s="1120">
        <v>2.9000000000000001E-2</v>
      </c>
      <c r="E70" s="1103"/>
      <c r="F70" s="1105">
        <v>0</v>
      </c>
      <c r="G70" s="1103"/>
      <c r="H70" s="1009"/>
      <c r="I70" s="1009"/>
      <c r="J70" s="1031"/>
      <c r="K70" s="1031"/>
    </row>
    <row r="71" spans="1:11" ht="25.2" customHeight="1" x14ac:dyDescent="0.3">
      <c r="A71" s="765" t="s">
        <v>287</v>
      </c>
      <c r="B71" s="766"/>
      <c r="C71" s="1121"/>
      <c r="D71" s="1121"/>
      <c r="E71" s="1122"/>
      <c r="F71" s="1105">
        <v>0</v>
      </c>
      <c r="G71" s="1080">
        <v>0</v>
      </c>
      <c r="H71" s="1009"/>
      <c r="I71" s="1009"/>
      <c r="J71" s="1031"/>
      <c r="K71" s="1031"/>
    </row>
    <row r="72" spans="1:11" ht="25.2" hidden="1" customHeight="1" x14ac:dyDescent="0.3">
      <c r="A72" s="767" t="s">
        <v>53</v>
      </c>
      <c r="B72" s="721"/>
      <c r="C72" s="1103">
        <v>0</v>
      </c>
      <c r="D72" s="1123">
        <v>0.1103</v>
      </c>
      <c r="E72" s="1124"/>
      <c r="F72" s="1105">
        <v>0</v>
      </c>
      <c r="G72" s="1125"/>
      <c r="H72" s="1009"/>
      <c r="I72" s="1009"/>
      <c r="J72" s="1031"/>
      <c r="K72" s="1031"/>
    </row>
    <row r="73" spans="1:11" ht="25.2" customHeight="1" x14ac:dyDescent="0.3">
      <c r="A73" s="767" t="s">
        <v>54</v>
      </c>
      <c r="B73" s="721"/>
      <c r="C73" s="1103"/>
      <c r="D73" s="1103"/>
      <c r="E73" s="1116"/>
      <c r="F73" s="1126">
        <f>SUM(F37:F71)</f>
        <v>310.38</v>
      </c>
      <c r="G73" s="1127">
        <f>SUM(G37:G71)</f>
        <v>701.18999999999994</v>
      </c>
      <c r="H73" s="1009"/>
      <c r="I73" s="1009"/>
      <c r="J73" s="1031"/>
      <c r="K73" s="1009"/>
    </row>
    <row r="74" spans="1:11" ht="27.6" customHeight="1" x14ac:dyDescent="0.3">
      <c r="A74" s="800" t="s">
        <v>258</v>
      </c>
      <c r="B74" s="801"/>
      <c r="C74" s="1103"/>
      <c r="D74" s="1103"/>
      <c r="E74" s="1116"/>
      <c r="F74" s="1116"/>
      <c r="G74" s="1103"/>
      <c r="H74" s="1031"/>
      <c r="I74" s="1031"/>
      <c r="J74" s="1009"/>
      <c r="K74" s="1009"/>
    </row>
    <row r="75" spans="1:11" ht="21" hidden="1" customHeight="1" x14ac:dyDescent="0.3">
      <c r="A75" s="721" t="s">
        <v>259</v>
      </c>
      <c r="B75" s="716"/>
      <c r="C75" s="1103">
        <v>0</v>
      </c>
      <c r="D75" s="1120">
        <v>0</v>
      </c>
      <c r="E75" s="1120">
        <v>0</v>
      </c>
      <c r="F75" s="1116">
        <v>0</v>
      </c>
      <c r="G75" s="1028">
        <v>0</v>
      </c>
      <c r="H75" s="1009"/>
      <c r="I75" s="1031"/>
      <c r="J75" s="1009"/>
      <c r="K75" s="1009"/>
    </row>
    <row r="76" spans="1:11" ht="21" hidden="1" customHeight="1" x14ac:dyDescent="0.3">
      <c r="A76" s="721" t="s">
        <v>260</v>
      </c>
      <c r="B76" s="716"/>
      <c r="C76" s="1103">
        <v>1500</v>
      </c>
      <c r="D76" s="1120">
        <v>0</v>
      </c>
      <c r="E76" s="1120">
        <v>0</v>
      </c>
      <c r="F76" s="1116">
        <v>0</v>
      </c>
      <c r="G76" s="1028">
        <v>0</v>
      </c>
      <c r="H76" s="1009"/>
      <c r="I76" s="1044"/>
      <c r="J76" s="1045"/>
      <c r="K76" s="1044"/>
    </row>
    <row r="77" spans="1:11" ht="21" hidden="1" customHeight="1" x14ac:dyDescent="0.3">
      <c r="A77" s="1009"/>
      <c r="B77" s="1009"/>
      <c r="C77" s="1009"/>
      <c r="D77" s="1009"/>
      <c r="E77" s="1009"/>
      <c r="F77" s="1009"/>
      <c r="G77" s="1009"/>
      <c r="H77" s="1009"/>
      <c r="I77" s="1044"/>
      <c r="J77" s="1045"/>
      <c r="K77" s="1044"/>
    </row>
    <row r="78" spans="1:11" ht="21" hidden="1" customHeight="1" x14ac:dyDescent="0.3">
      <c r="A78" s="708" t="s">
        <v>406</v>
      </c>
      <c r="B78" s="708"/>
      <c r="C78" s="1103">
        <v>1500</v>
      </c>
      <c r="D78" s="1120">
        <v>0</v>
      </c>
      <c r="E78" s="1120">
        <v>0</v>
      </c>
      <c r="F78" s="1116">
        <v>0</v>
      </c>
      <c r="G78" s="1028">
        <v>0</v>
      </c>
      <c r="H78" s="1009"/>
      <c r="I78" s="1009"/>
      <c r="J78" s="1009"/>
      <c r="K78" s="1031"/>
    </row>
    <row r="79" spans="1:11" ht="18.600000000000001" customHeight="1" x14ac:dyDescent="0.3">
      <c r="A79" s="768" t="s">
        <v>231</v>
      </c>
      <c r="B79" s="769"/>
      <c r="C79" s="1106"/>
      <c r="D79" s="1113"/>
      <c r="E79" s="1113"/>
      <c r="F79" s="1128">
        <f>J33-F73</f>
        <v>1189.6199999999999</v>
      </c>
      <c r="G79" s="1106"/>
      <c r="H79" s="1009"/>
      <c r="I79" s="1009"/>
      <c r="J79" s="1009"/>
      <c r="K79" s="1031"/>
    </row>
    <row r="80" spans="1:11" ht="18.600000000000001" hidden="1" customHeight="1" x14ac:dyDescent="0.3">
      <c r="A80" s="721" t="s">
        <v>261</v>
      </c>
      <c r="B80" s="716"/>
      <c r="C80" s="1106"/>
      <c r="D80" s="1113"/>
      <c r="E80" s="1113"/>
      <c r="F80" s="1106">
        <v>0</v>
      </c>
      <c r="G80" s="1106">
        <v>0</v>
      </c>
      <c r="H80" s="1009"/>
      <c r="I80" s="1009"/>
      <c r="J80" s="1009"/>
      <c r="K80" s="1031"/>
    </row>
    <row r="81" spans="1:12" ht="18.600000000000001" hidden="1" customHeight="1" x14ac:dyDescent="0.3">
      <c r="A81" s="721" t="s">
        <v>262</v>
      </c>
      <c r="B81" s="716"/>
      <c r="C81" s="1106"/>
      <c r="D81" s="1113"/>
      <c r="E81" s="1113"/>
      <c r="F81" s="1141">
        <v>0</v>
      </c>
      <c r="G81" s="1117"/>
      <c r="H81" s="1009"/>
      <c r="I81" s="1009"/>
      <c r="J81" s="1009"/>
      <c r="K81" s="1031"/>
      <c r="L81" s="1009"/>
    </row>
    <row r="82" spans="1:12" ht="18.600000000000001" hidden="1" customHeight="1" x14ac:dyDescent="0.3">
      <c r="A82" s="896" t="s">
        <v>285</v>
      </c>
      <c r="B82" s="897"/>
      <c r="C82" s="1075"/>
      <c r="D82" s="1076"/>
      <c r="E82" s="1076"/>
      <c r="F82" s="1077"/>
      <c r="G82" s="1077"/>
      <c r="H82" s="1009"/>
      <c r="I82" s="1009"/>
      <c r="J82" s="1009"/>
      <c r="K82" s="1031"/>
      <c r="L82" s="1009"/>
    </row>
    <row r="83" spans="1:12" ht="18.600000000000001" customHeight="1" x14ac:dyDescent="0.3">
      <c r="A83" s="763" t="s">
        <v>64</v>
      </c>
      <c r="B83" s="763"/>
      <c r="C83" s="763"/>
      <c r="D83" s="763"/>
      <c r="E83" s="763"/>
      <c r="F83" s="763"/>
      <c r="G83" s="763"/>
      <c r="H83" s="763"/>
      <c r="I83" s="763"/>
      <c r="J83" s="1006">
        <f>J33-F73</f>
        <v>1189.6199999999999</v>
      </c>
      <c r="K83" s="1005"/>
      <c r="L83" s="1005"/>
    </row>
    <row r="84" spans="1:12" s="988" customFormat="1" ht="18.600000000000001" customHeight="1" x14ac:dyDescent="0.3">
      <c r="A84" s="763" t="s">
        <v>232</v>
      </c>
      <c r="B84" s="763"/>
      <c r="C84" s="763"/>
      <c r="D84" s="763"/>
      <c r="E84" s="763"/>
      <c r="F84" s="763"/>
      <c r="G84" s="763"/>
      <c r="H84" s="763"/>
      <c r="I84" s="763"/>
      <c r="J84" s="1006">
        <f>J33-F73+F67+G43</f>
        <v>1244.7099999999998</v>
      </c>
      <c r="K84" s="1005"/>
      <c r="L84" s="1005"/>
    </row>
    <row r="85" spans="1:12" s="988" customFormat="1" ht="18" customHeight="1" x14ac:dyDescent="0.3">
      <c r="A85" s="792" t="s">
        <v>233</v>
      </c>
      <c r="B85" s="792"/>
      <c r="C85" s="792"/>
      <c r="D85" s="792"/>
      <c r="E85" s="792"/>
      <c r="F85" s="792"/>
      <c r="G85" s="792"/>
      <c r="H85" s="792"/>
      <c r="I85" s="792"/>
      <c r="J85" s="1007">
        <v>0</v>
      </c>
      <c r="K85" s="1007"/>
      <c r="L85" s="1081"/>
    </row>
    <row r="86" spans="1:12" s="988" customFormat="1" ht="23.25" customHeight="1" x14ac:dyDescent="0.3">
      <c r="A86" s="792" t="s">
        <v>321</v>
      </c>
      <c r="B86" s="792"/>
      <c r="C86" s="792"/>
      <c r="D86" s="792"/>
      <c r="E86" s="792"/>
      <c r="F86" s="792"/>
      <c r="G86" s="792"/>
      <c r="H86" s="792"/>
      <c r="I86" s="792"/>
      <c r="J86" s="1138">
        <v>0</v>
      </c>
      <c r="K86" s="1139"/>
      <c r="L86" s="1140"/>
    </row>
    <row r="87" spans="1:12" s="988" customFormat="1" ht="23.25" customHeight="1" x14ac:dyDescent="0.3">
      <c r="A87" s="776" t="s">
        <v>234</v>
      </c>
      <c r="B87" s="777"/>
      <c r="C87" s="778"/>
      <c r="D87" s="752" t="s">
        <v>59</v>
      </c>
      <c r="E87" s="752"/>
      <c r="F87" s="752" t="s">
        <v>66</v>
      </c>
      <c r="G87" s="752"/>
      <c r="H87" s="1129" t="s">
        <v>60</v>
      </c>
      <c r="I87" s="1023"/>
      <c r="J87" s="793" t="s">
        <v>320</v>
      </c>
      <c r="K87" s="793"/>
      <c r="L87" s="1021"/>
    </row>
    <row r="88" spans="1:12" s="988" customFormat="1" ht="23.25" customHeight="1" x14ac:dyDescent="0.3">
      <c r="A88" s="779"/>
      <c r="B88" s="780"/>
      <c r="C88" s="781"/>
      <c r="D88" s="1182">
        <f>J84</f>
        <v>1244.7099999999998</v>
      </c>
      <c r="E88" s="1183"/>
      <c r="F88" s="784"/>
      <c r="G88" s="785"/>
      <c r="H88" s="1130">
        <v>0</v>
      </c>
      <c r="I88" s="1023"/>
      <c r="J88" s="1021"/>
      <c r="K88" s="1021"/>
      <c r="L88" s="1021"/>
    </row>
    <row r="89" spans="1:12" s="988" customFormat="1" ht="20.25" customHeight="1" x14ac:dyDescent="0.3">
      <c r="A89" s="774" t="s">
        <v>286</v>
      </c>
      <c r="B89" s="774"/>
      <c r="C89" s="774"/>
      <c r="D89" s="774"/>
      <c r="E89" s="774"/>
      <c r="F89" s="774"/>
      <c r="G89" s="774"/>
      <c r="H89" s="774"/>
      <c r="I89" s="774"/>
      <c r="J89" s="775">
        <f>J83-H88</f>
        <v>1189.6199999999999</v>
      </c>
      <c r="K89" s="775"/>
      <c r="L89" s="775"/>
    </row>
    <row r="90" spans="1:12" s="988" customFormat="1" x14ac:dyDescent="0.3">
      <c r="A90" s="786" t="s">
        <v>288</v>
      </c>
      <c r="B90" s="787"/>
      <c r="C90" s="787"/>
      <c r="D90" s="787"/>
      <c r="E90" s="787"/>
      <c r="F90" s="787"/>
      <c r="G90" s="787"/>
      <c r="H90" s="787"/>
      <c r="I90" s="788"/>
      <c r="J90" s="772">
        <v>0</v>
      </c>
      <c r="K90" s="773"/>
      <c r="L90" s="773"/>
    </row>
    <row r="91" spans="1:12" s="988" customFormat="1" x14ac:dyDescent="0.3">
      <c r="A91" s="1159" t="s">
        <v>57</v>
      </c>
      <c r="B91" s="1159"/>
      <c r="C91" s="1159"/>
      <c r="D91" s="1159"/>
      <c r="E91" s="1159"/>
      <c r="F91" s="1159"/>
      <c r="G91" s="1159"/>
      <c r="H91" s="1159"/>
      <c r="I91" s="1159"/>
      <c r="J91" s="1179">
        <f>J33+G73</f>
        <v>2201.19</v>
      </c>
      <c r="K91" s="773"/>
      <c r="L91" s="773"/>
    </row>
    <row r="92" spans="1:12" s="1164" customFormat="1" x14ac:dyDescent="0.3">
      <c r="A92" s="1162"/>
      <c r="B92" s="1162"/>
      <c r="C92" s="1162"/>
      <c r="D92" s="1162"/>
      <c r="E92" s="1162"/>
      <c r="F92" s="1162"/>
      <c r="G92" s="1162"/>
      <c r="H92" s="1162"/>
      <c r="I92" s="1162"/>
      <c r="J92" s="1158"/>
      <c r="K92" s="1163"/>
      <c r="L92" s="1163"/>
    </row>
    <row r="93" spans="1:12" s="1164" customFormat="1" x14ac:dyDescent="0.3">
      <c r="A93" s="1162"/>
      <c r="B93" s="1162"/>
      <c r="C93" s="1162"/>
      <c r="D93" s="1162"/>
      <c r="E93" s="1162"/>
      <c r="F93" s="1162"/>
      <c r="G93" s="1162"/>
      <c r="H93" s="1162"/>
      <c r="I93" s="1162"/>
      <c r="J93" s="1158"/>
      <c r="K93" s="1163"/>
      <c r="L93" s="1163"/>
    </row>
    <row r="94" spans="1:12" s="1164" customFormat="1" x14ac:dyDescent="0.3">
      <c r="A94" s="1180"/>
      <c r="B94" s="1180"/>
      <c r="C94" s="1180"/>
      <c r="D94" s="1180"/>
      <c r="E94" s="1180"/>
      <c r="F94" s="1180"/>
      <c r="G94" s="1180"/>
      <c r="H94" s="1180"/>
      <c r="I94" s="1180"/>
      <c r="J94" s="1181"/>
      <c r="K94" s="1163"/>
      <c r="L94" s="1163"/>
    </row>
    <row r="95" spans="1:12" s="988" customFormat="1" x14ac:dyDescent="0.3">
      <c r="A95" s="1165"/>
      <c r="B95" s="1169" t="s">
        <v>63</v>
      </c>
      <c r="C95" s="1169" t="s">
        <v>289</v>
      </c>
      <c r="D95" s="785" t="s">
        <v>291</v>
      </c>
      <c r="E95" s="785"/>
      <c r="F95" s="785" t="s">
        <v>292</v>
      </c>
      <c r="G95" s="785"/>
      <c r="H95" s="1173"/>
      <c r="I95" s="1173"/>
      <c r="J95" s="1024"/>
      <c r="K95" s="1131"/>
      <c r="L95" s="1131"/>
    </row>
    <row r="96" spans="1:12" s="988" customFormat="1" ht="14.4" customHeight="1" x14ac:dyDescent="0.3">
      <c r="A96" s="1174" t="s">
        <v>290</v>
      </c>
      <c r="B96" s="1168">
        <v>0</v>
      </c>
      <c r="C96" s="1168"/>
      <c r="D96" s="1169" t="s">
        <v>107</v>
      </c>
      <c r="E96" s="1168"/>
      <c r="F96" s="1169" t="s">
        <v>315</v>
      </c>
      <c r="G96" s="1168"/>
      <c r="H96" s="1169"/>
      <c r="I96" s="1173"/>
      <c r="J96" s="1024"/>
      <c r="K96" s="1131"/>
      <c r="L96" s="1131"/>
    </row>
    <row r="97" spans="1:12" s="988" customFormat="1" ht="21" customHeight="1" x14ac:dyDescent="0.3">
      <c r="A97" s="1175" t="s">
        <v>294</v>
      </c>
      <c r="B97" s="1177">
        <v>0</v>
      </c>
      <c r="C97" s="1177"/>
      <c r="D97" s="1169" t="s">
        <v>100</v>
      </c>
      <c r="E97" s="1168"/>
      <c r="F97" s="1169" t="s">
        <v>247</v>
      </c>
      <c r="G97" s="1168"/>
      <c r="H97" s="1173"/>
      <c r="I97" s="1173"/>
      <c r="J97" s="1024"/>
      <c r="K97" s="1131"/>
      <c r="L97" s="1131"/>
    </row>
    <row r="98" spans="1:12" s="988" customFormat="1" ht="21" customHeight="1" x14ac:dyDescent="0.3">
      <c r="A98" s="1176" t="s">
        <v>185</v>
      </c>
      <c r="B98" s="1177">
        <v>1500</v>
      </c>
      <c r="C98" s="1177"/>
      <c r="D98" s="1169" t="s">
        <v>246</v>
      </c>
      <c r="E98" s="1168"/>
      <c r="F98" s="1169" t="s">
        <v>246</v>
      </c>
      <c r="G98" s="1168"/>
      <c r="H98" s="1173"/>
      <c r="I98" s="1173"/>
      <c r="J98" s="1024"/>
      <c r="K98" s="1131"/>
      <c r="L98" s="1131"/>
    </row>
    <row r="99" spans="1:12" s="988" customFormat="1" ht="17.25" customHeight="1" x14ac:dyDescent="0.3">
      <c r="A99" s="1176" t="s">
        <v>61</v>
      </c>
      <c r="B99" s="1177">
        <v>1244.7099999999998</v>
      </c>
      <c r="C99" s="1177"/>
      <c r="D99" s="1173"/>
      <c r="E99" s="1173"/>
      <c r="F99" s="1173"/>
      <c r="G99" s="1173"/>
      <c r="H99" s="1173"/>
      <c r="I99" s="1173"/>
      <c r="J99" s="1024"/>
      <c r="K99" s="1131"/>
      <c r="L99" s="1131"/>
    </row>
    <row r="100" spans="1:12" s="988" customFormat="1" ht="17.25" customHeight="1" x14ac:dyDescent="0.3">
      <c r="A100" s="742" t="s">
        <v>58</v>
      </c>
      <c r="B100" s="742"/>
      <c r="C100" s="742"/>
      <c r="D100" s="742"/>
      <c r="E100" s="742"/>
      <c r="F100" s="1010"/>
      <c r="G100" s="1010"/>
      <c r="H100" s="1010"/>
      <c r="I100" s="1010"/>
      <c r="J100" s="1010"/>
      <c r="K100" s="1010"/>
      <c r="L100" s="1010"/>
    </row>
    <row r="101" spans="1:12" s="988" customFormat="1" ht="15" customHeight="1" x14ac:dyDescent="0.3">
      <c r="A101" s="1018" t="s">
        <v>62</v>
      </c>
      <c r="B101" s="1010"/>
      <c r="C101" s="1010"/>
      <c r="D101" s="1010"/>
      <c r="E101" s="1010"/>
      <c r="F101" s="1010"/>
      <c r="G101" s="1010"/>
      <c r="H101" s="1010"/>
      <c r="I101" s="1010"/>
      <c r="J101" s="1010"/>
      <c r="K101" s="1010"/>
      <c r="L101" s="1010"/>
    </row>
    <row r="102" spans="1:12" s="989" customFormat="1" ht="12" customHeight="1" x14ac:dyDescent="0.2">
      <c r="A102" s="1010" t="s">
        <v>322</v>
      </c>
      <c r="B102" s="1010"/>
      <c r="C102" s="1010"/>
      <c r="D102" s="1010"/>
      <c r="E102" s="1010"/>
      <c r="F102" s="1010"/>
      <c r="G102" s="1010"/>
      <c r="H102" s="1010"/>
      <c r="I102" s="1010"/>
      <c r="J102" s="1010"/>
      <c r="K102" s="1010"/>
      <c r="L102" s="1010"/>
    </row>
    <row r="103" spans="1:12" s="989" customFormat="1" ht="12" customHeight="1" x14ac:dyDescent="0.2">
      <c r="A103" s="1018"/>
      <c r="B103" s="1010"/>
      <c r="C103" s="1010"/>
      <c r="D103" s="1010"/>
      <c r="E103" s="1010"/>
      <c r="F103" s="1010"/>
      <c r="G103" s="1010"/>
      <c r="H103" s="1010"/>
      <c r="I103" s="1010"/>
      <c r="J103" s="1010"/>
      <c r="K103" s="1010"/>
      <c r="L103" s="1010"/>
    </row>
    <row r="104" spans="1:12" s="989" customFormat="1" ht="12" hidden="1" customHeight="1" x14ac:dyDescent="0.25">
      <c r="A104" s="1049" t="s">
        <v>96</v>
      </c>
      <c r="B104" s="1050"/>
      <c r="C104" s="1051">
        <v>7.4999999999999997E-3</v>
      </c>
      <c r="D104" s="1043">
        <v>11.25</v>
      </c>
      <c r="E104" s="1030"/>
      <c r="F104" s="1052"/>
      <c r="G104" s="1029"/>
      <c r="H104" s="1011"/>
      <c r="I104" s="1011"/>
      <c r="J104" s="1010"/>
      <c r="K104" s="1010"/>
      <c r="L104" s="1010"/>
    </row>
    <row r="105" spans="1:12" s="989" customFormat="1" ht="12" hidden="1" customHeight="1" x14ac:dyDescent="0.3">
      <c r="A105" s="1049" t="s">
        <v>97</v>
      </c>
      <c r="B105" s="1050"/>
      <c r="C105" s="1053">
        <v>1.4499999999999999E-2</v>
      </c>
      <c r="D105" s="1043">
        <v>21.75</v>
      </c>
      <c r="E105" s="1009"/>
      <c r="F105" s="1048"/>
      <c r="G105" s="1009"/>
      <c r="H105" s="1009"/>
      <c r="I105" s="1009"/>
      <c r="J105" s="1009"/>
      <c r="K105" s="1009"/>
      <c r="L105" s="1009"/>
    </row>
    <row r="106" spans="1:12" ht="30.75" hidden="1" customHeight="1" x14ac:dyDescent="0.3">
      <c r="A106" s="1054" t="s">
        <v>251</v>
      </c>
      <c r="B106" s="1050"/>
      <c r="C106" s="1009"/>
      <c r="D106" s="1030">
        <v>33</v>
      </c>
      <c r="E106" s="1009"/>
      <c r="F106" s="1048"/>
      <c r="G106" s="1009"/>
      <c r="H106" s="1009"/>
      <c r="I106" s="1009"/>
      <c r="J106" s="1009"/>
      <c r="K106" s="1009"/>
      <c r="L106" s="1009"/>
    </row>
    <row r="107" spans="1:12" ht="30.75" hidden="1" customHeight="1" x14ac:dyDescent="0.3">
      <c r="A107" s="1049" t="s">
        <v>252</v>
      </c>
      <c r="B107" s="1009"/>
      <c r="C107" s="1030"/>
      <c r="D107" s="1009"/>
      <c r="E107" s="1009"/>
      <c r="F107" s="1055"/>
      <c r="G107" s="1009"/>
      <c r="H107" s="1009"/>
      <c r="I107" s="1009"/>
      <c r="J107" s="1009"/>
      <c r="K107" s="1009"/>
      <c r="L107" s="1009"/>
    </row>
    <row r="108" spans="1:12" ht="30.75" hidden="1" customHeight="1" x14ac:dyDescent="0.3">
      <c r="A108" s="1049"/>
      <c r="B108" s="1009"/>
      <c r="C108" s="1030"/>
      <c r="D108" s="1009"/>
      <c r="E108" s="1009"/>
      <c r="F108" s="1055"/>
      <c r="G108" s="1009"/>
      <c r="H108" s="1009"/>
      <c r="I108" s="1009"/>
      <c r="J108" s="1009"/>
      <c r="K108" s="1009"/>
      <c r="L108" s="1009"/>
    </row>
    <row r="109" spans="1:12" ht="30.75" hidden="1" customHeight="1" x14ac:dyDescent="0.3">
      <c r="A109" s="1049" t="s">
        <v>98</v>
      </c>
      <c r="B109" s="1056"/>
      <c r="C109" s="1043">
        <v>1.7000000000000001E-2</v>
      </c>
      <c r="D109" s="1043">
        <v>25.26</v>
      </c>
      <c r="E109" s="1009"/>
      <c r="F109" s="1055"/>
      <c r="G109" s="1009"/>
      <c r="H109" s="1009"/>
      <c r="I109" s="1009"/>
      <c r="J109" s="1009"/>
      <c r="K109" s="1009"/>
      <c r="L109" s="1009"/>
    </row>
    <row r="110" spans="1:12" ht="30.75" hidden="1" customHeight="1" x14ac:dyDescent="0.3">
      <c r="A110" s="1057"/>
      <c r="B110" s="1058"/>
      <c r="C110" s="1059"/>
      <c r="D110" s="1059"/>
      <c r="E110" s="1059"/>
      <c r="F110" s="1060"/>
      <c r="G110" s="1009"/>
      <c r="H110" s="1009"/>
      <c r="I110" s="1009"/>
      <c r="J110" s="1009"/>
      <c r="K110" s="1009"/>
      <c r="L110" s="1009"/>
    </row>
    <row r="111" spans="1:12" ht="30.75" hidden="1" customHeight="1" x14ac:dyDescent="0.3">
      <c r="A111" s="1061" t="s">
        <v>253</v>
      </c>
      <c r="B111" s="1062"/>
      <c r="C111" s="1063"/>
      <c r="D111" s="1063"/>
      <c r="E111" s="1063"/>
      <c r="F111" s="1064"/>
      <c r="G111" s="1009"/>
      <c r="H111" s="1009"/>
      <c r="I111" s="1009"/>
      <c r="J111" s="1009"/>
      <c r="K111" s="1009"/>
      <c r="L111" s="1009"/>
    </row>
    <row r="112" spans="1:12" ht="30.75" hidden="1" customHeight="1" x14ac:dyDescent="0.3">
      <c r="A112" s="1046"/>
      <c r="B112" s="1047"/>
      <c r="C112" s="1065"/>
      <c r="D112" s="1009"/>
      <c r="E112" s="1009"/>
      <c r="F112" s="1066"/>
      <c r="G112" s="1009"/>
      <c r="H112" s="1009"/>
      <c r="I112" s="1009"/>
      <c r="J112" s="1009"/>
      <c r="K112" s="1009"/>
      <c r="L112" s="1009"/>
    </row>
    <row r="113" spans="1:18" ht="30.75" hidden="1" customHeight="1" x14ac:dyDescent="0.3">
      <c r="A113" s="1049" t="s">
        <v>96</v>
      </c>
      <c r="B113" s="1050"/>
      <c r="C113" s="1051">
        <v>7.4999999999999997E-3</v>
      </c>
      <c r="D113" s="1043">
        <v>11.25</v>
      </c>
      <c r="E113" s="1029"/>
      <c r="F113" s="1048"/>
      <c r="G113" s="1009"/>
      <c r="H113" s="1009"/>
      <c r="I113" s="1009"/>
      <c r="J113" s="1009"/>
      <c r="K113" s="1009"/>
      <c r="L113" s="1009"/>
    </row>
    <row r="114" spans="1:18" ht="30.75" hidden="1" customHeight="1" x14ac:dyDescent="0.3">
      <c r="A114" s="1049" t="s">
        <v>97</v>
      </c>
      <c r="B114" s="1050"/>
      <c r="C114" s="1053">
        <v>2.4E-2</v>
      </c>
      <c r="D114" s="1043">
        <v>36</v>
      </c>
      <c r="E114" s="1067"/>
      <c r="F114" s="1048"/>
      <c r="G114" s="1009"/>
      <c r="H114" s="1009"/>
      <c r="I114" s="1009"/>
      <c r="J114" s="1009"/>
      <c r="K114" s="1009"/>
      <c r="L114" s="1009"/>
    </row>
    <row r="115" spans="1:18" ht="30.75" hidden="1" customHeight="1" x14ac:dyDescent="0.3">
      <c r="A115" s="1054" t="s">
        <v>254</v>
      </c>
      <c r="B115" s="1050"/>
      <c r="C115" s="1009"/>
      <c r="D115" s="1009"/>
      <c r="E115" s="1067"/>
      <c r="F115" s="1048"/>
      <c r="G115" s="1009"/>
      <c r="H115" s="1009"/>
      <c r="I115" s="1009"/>
      <c r="J115" s="1009"/>
      <c r="K115" s="1009"/>
      <c r="L115" s="1009"/>
    </row>
    <row r="116" spans="1:18" ht="30.75" hidden="1" customHeight="1" x14ac:dyDescent="0.3">
      <c r="A116" s="1049" t="s">
        <v>252</v>
      </c>
      <c r="B116" s="1009"/>
      <c r="C116" s="1030"/>
      <c r="D116" s="1009"/>
      <c r="E116" s="1068">
        <v>21.99</v>
      </c>
      <c r="F116" s="1048"/>
      <c r="G116" s="1009"/>
      <c r="H116" s="1009"/>
      <c r="I116" s="1009"/>
      <c r="J116" s="1009"/>
      <c r="K116" s="1009"/>
      <c r="L116" s="1009"/>
      <c r="M116" s="1009"/>
      <c r="N116" s="1009"/>
      <c r="O116" s="1009"/>
      <c r="P116" s="1009"/>
      <c r="Q116" s="1009"/>
      <c r="R116" s="1009"/>
    </row>
    <row r="117" spans="1:18" ht="30.75" hidden="1" customHeight="1" x14ac:dyDescent="0.3">
      <c r="A117" s="1049"/>
      <c r="B117" s="1009"/>
      <c r="C117" s="1030"/>
      <c r="D117" s="1009"/>
      <c r="E117" s="1067"/>
      <c r="F117" s="1048"/>
      <c r="G117" s="1009"/>
      <c r="H117" s="1009"/>
      <c r="I117" s="1009"/>
      <c r="J117" s="1009"/>
      <c r="K117" s="1009"/>
      <c r="L117" s="1009"/>
      <c r="M117" s="1009"/>
      <c r="N117" s="1009"/>
      <c r="O117" s="1009"/>
      <c r="P117" s="1009"/>
      <c r="Q117" s="1009"/>
      <c r="R117" s="1009"/>
    </row>
    <row r="118" spans="1:18" ht="30.75" hidden="1" customHeight="1" x14ac:dyDescent="0.3">
      <c r="A118" s="1049" t="s">
        <v>98</v>
      </c>
      <c r="B118" s="1056"/>
      <c r="C118" s="1043">
        <v>1.7000000000000001E-2</v>
      </c>
      <c r="D118" s="1043">
        <v>25.26</v>
      </c>
      <c r="E118" s="1009"/>
      <c r="F118" s="1048"/>
      <c r="G118" s="1009"/>
      <c r="H118" s="1009"/>
      <c r="I118" s="1009"/>
      <c r="J118" s="1009"/>
      <c r="K118" s="1009"/>
      <c r="L118" s="1009"/>
      <c r="M118" s="1009"/>
      <c r="N118" s="1009"/>
      <c r="O118" s="1009"/>
      <c r="P118" s="1009"/>
      <c r="Q118" s="1009"/>
      <c r="R118" s="1009"/>
    </row>
    <row r="119" spans="1:18" ht="30.75" hidden="1" customHeight="1" x14ac:dyDescent="0.3">
      <c r="A119" s="1069"/>
      <c r="B119" s="1070"/>
      <c r="C119" s="1071"/>
      <c r="D119" s="1071"/>
      <c r="E119" s="1071"/>
      <c r="F119" s="1072"/>
      <c r="G119" s="1009"/>
      <c r="H119" s="1009"/>
      <c r="I119" s="1009"/>
      <c r="J119" s="1009"/>
      <c r="K119" s="1009"/>
      <c r="L119" s="1009"/>
      <c r="M119" s="1009"/>
      <c r="N119" s="1009"/>
      <c r="O119" s="1009"/>
      <c r="P119" s="1009"/>
      <c r="Q119" s="1009"/>
      <c r="R119" s="1009"/>
    </row>
    <row r="120" spans="1:18" ht="30.75" hidden="1" customHeight="1" x14ac:dyDescent="0.3">
      <c r="A120" s="1009"/>
      <c r="B120" s="1050"/>
      <c r="C120" s="1009"/>
      <c r="D120" s="1009"/>
      <c r="E120" s="1009"/>
      <c r="F120" s="1009"/>
      <c r="G120" s="1009"/>
      <c r="H120" s="1009"/>
      <c r="I120" s="1009"/>
      <c r="J120" s="1009"/>
      <c r="K120" s="1009"/>
      <c r="L120" s="1009"/>
      <c r="M120" s="1009"/>
      <c r="N120" s="1009"/>
      <c r="O120" s="1009"/>
      <c r="P120" s="1009"/>
      <c r="Q120" s="1009"/>
      <c r="R120" s="1009"/>
    </row>
    <row r="121" spans="1:18" ht="30.75" hidden="1" customHeight="1" x14ac:dyDescent="0.3">
      <c r="A121" s="1012" t="s">
        <v>90</v>
      </c>
      <c r="B121" s="1009"/>
      <c r="C121" s="1009"/>
      <c r="D121" s="1009"/>
      <c r="E121" s="1009"/>
      <c r="F121" s="1009"/>
      <c r="G121" s="1009"/>
      <c r="H121" s="1009"/>
      <c r="I121" s="1009"/>
      <c r="J121" s="1009"/>
      <c r="K121" s="1009"/>
      <c r="L121" s="1009"/>
      <c r="M121" s="1009"/>
      <c r="N121" s="1009"/>
      <c r="O121" s="1009"/>
      <c r="P121" s="1009"/>
      <c r="Q121" s="1009"/>
      <c r="R121" s="1009"/>
    </row>
    <row r="122" spans="1:18" ht="30.75" customHeight="1" x14ac:dyDescent="0.3">
      <c r="A122" s="1014" t="s">
        <v>263</v>
      </c>
      <c r="B122" s="1078" t="s">
        <v>264</v>
      </c>
      <c r="C122" s="1078" t="s">
        <v>226</v>
      </c>
      <c r="D122" s="1078" t="s">
        <v>265</v>
      </c>
      <c r="E122" s="1078" t="s">
        <v>266</v>
      </c>
      <c r="F122" s="1025"/>
      <c r="G122" s="1012"/>
      <c r="H122" s="1012"/>
      <c r="I122" s="1012"/>
      <c r="J122" s="1009"/>
      <c r="K122" s="1009"/>
      <c r="L122" s="1009"/>
      <c r="M122" s="1009"/>
      <c r="N122" s="1009"/>
      <c r="O122" s="1009"/>
      <c r="P122" s="1009"/>
      <c r="Q122" s="1009"/>
      <c r="R122" s="1009"/>
    </row>
    <row r="123" spans="1:18" ht="30.75" customHeight="1" x14ac:dyDescent="0.3">
      <c r="A123" s="1026"/>
      <c r="B123" s="1021"/>
      <c r="C123" s="1027" t="s">
        <v>31</v>
      </c>
      <c r="D123" s="1027" t="s">
        <v>293</v>
      </c>
      <c r="E123" s="1027" t="s">
        <v>101</v>
      </c>
      <c r="F123" s="1009"/>
      <c r="G123" s="1009"/>
      <c r="H123" s="1012"/>
      <c r="I123" s="1012"/>
      <c r="J123" s="1012"/>
      <c r="K123" s="1012"/>
      <c r="L123" s="1012"/>
      <c r="M123" s="1013"/>
      <c r="N123" s="1013"/>
      <c r="O123" s="1013"/>
      <c r="P123" s="1013"/>
      <c r="Q123" s="1013"/>
      <c r="R123" s="1013"/>
    </row>
    <row r="124" spans="1:18" s="988" customFormat="1" ht="15.6" x14ac:dyDescent="0.3">
      <c r="A124" s="1032"/>
      <c r="B124" s="1032"/>
      <c r="C124" s="1029"/>
      <c r="D124" s="1030"/>
      <c r="E124" s="1019">
        <v>0</v>
      </c>
      <c r="F124" s="1009"/>
      <c r="G124" s="1009"/>
      <c r="H124" s="1012"/>
      <c r="I124" s="1012"/>
      <c r="J124" s="1012"/>
      <c r="K124" s="1012"/>
      <c r="L124" s="1012"/>
      <c r="M124" s="1013"/>
      <c r="N124" s="1013"/>
      <c r="O124" s="1013"/>
      <c r="P124" s="1013"/>
      <c r="Q124" s="1013"/>
      <c r="R124" s="1013"/>
    </row>
    <row r="125" spans="1:18" s="988" customFormat="1" ht="15.6" x14ac:dyDescent="0.3">
      <c r="A125" s="740" t="s">
        <v>93</v>
      </c>
      <c r="B125" s="741"/>
      <c r="C125" s="1187"/>
      <c r="D125" s="1020">
        <v>1E-3</v>
      </c>
      <c r="E125" s="1019"/>
      <c r="F125" s="1009"/>
      <c r="G125" s="1009"/>
      <c r="H125" s="1012"/>
      <c r="I125" s="1012"/>
      <c r="J125" s="1012"/>
      <c r="K125" s="1012"/>
      <c r="L125" s="1012"/>
      <c r="M125" s="1013"/>
      <c r="N125" s="1013"/>
      <c r="O125" s="1013"/>
      <c r="P125" s="1013"/>
      <c r="Q125" s="1013"/>
      <c r="R125" s="1013"/>
    </row>
    <row r="126" spans="1:18" s="988" customFormat="1" ht="15.6" x14ac:dyDescent="0.3">
      <c r="A126" s="740" t="s">
        <v>94</v>
      </c>
      <c r="B126" s="741"/>
      <c r="C126" s="1019">
        <v>0</v>
      </c>
      <c r="D126" s="1020">
        <v>5.0000000000000001E-3</v>
      </c>
      <c r="E126" s="1019">
        <v>0</v>
      </c>
      <c r="F126" s="1009"/>
      <c r="G126" s="1029"/>
      <c r="H126" s="1012"/>
      <c r="I126" s="1012"/>
      <c r="J126" s="1012"/>
      <c r="K126" s="1012"/>
      <c r="L126" s="1012"/>
      <c r="M126" s="1013"/>
      <c r="N126" s="1013"/>
      <c r="O126" s="1013"/>
      <c r="P126" s="1013"/>
      <c r="Q126" s="1013"/>
      <c r="R126" s="1013"/>
    </row>
    <row r="127" spans="1:18" s="988" customFormat="1" ht="15.6" x14ac:dyDescent="0.3">
      <c r="A127" s="740" t="s">
        <v>283</v>
      </c>
      <c r="B127" s="741"/>
      <c r="C127" s="1019">
        <f>J33</f>
        <v>1500</v>
      </c>
      <c r="D127" s="1020">
        <f>'Masque de Saisie'!H22</f>
        <v>3.2000000000000001E-2</v>
      </c>
      <c r="E127" s="1019">
        <f>ROUND(C127*D127,2)</f>
        <v>48</v>
      </c>
      <c r="F127" s="1029"/>
      <c r="G127" s="1009"/>
      <c r="H127" s="1012"/>
      <c r="I127" s="1012"/>
      <c r="J127" s="1012"/>
      <c r="K127" s="1012"/>
      <c r="L127" s="1012"/>
      <c r="M127" s="1013"/>
      <c r="N127" s="1013"/>
      <c r="O127" s="1013"/>
      <c r="P127" s="1013"/>
      <c r="Q127" s="1013"/>
      <c r="R127" s="1013"/>
    </row>
    <row r="128" spans="1:18" s="988" customFormat="1" ht="15.6" x14ac:dyDescent="0.3">
      <c r="A128" s="755" t="s">
        <v>72</v>
      </c>
      <c r="B128" s="756"/>
      <c r="C128" s="1019">
        <f>C127</f>
        <v>1500</v>
      </c>
      <c r="D128" s="1020">
        <v>3.0000000000000001E-3</v>
      </c>
      <c r="E128" s="1166">
        <f t="shared" ref="E128:E135" si="2">ROUND(C128*D128,2)</f>
        <v>4.5</v>
      </c>
      <c r="F128" s="1009"/>
      <c r="G128" s="1009"/>
      <c r="H128" s="1012"/>
      <c r="I128" s="1012"/>
      <c r="J128" s="1012"/>
      <c r="K128" s="1012"/>
      <c r="L128" s="1012"/>
      <c r="M128" s="1013"/>
      <c r="N128" s="1013"/>
      <c r="O128" s="1013"/>
      <c r="P128" s="1013"/>
      <c r="Q128" s="1013"/>
      <c r="R128" s="1013"/>
    </row>
    <row r="129" spans="1:18" s="988" customFormat="1" ht="15.6" x14ac:dyDescent="0.3">
      <c r="A129" s="740" t="s">
        <v>91</v>
      </c>
      <c r="B129" s="741"/>
      <c r="C129" s="1019">
        <f>G43</f>
        <v>12</v>
      </c>
      <c r="D129" s="1020">
        <v>0.08</v>
      </c>
      <c r="E129" s="1166">
        <f t="shared" si="2"/>
        <v>0.96</v>
      </c>
      <c r="F129" s="1009"/>
      <c r="G129" s="1009"/>
      <c r="H129" s="1013"/>
      <c r="I129" s="1013"/>
      <c r="J129" s="1012"/>
      <c r="K129" s="1012"/>
      <c r="L129" s="1012"/>
      <c r="M129" s="1013"/>
      <c r="N129" s="1013"/>
      <c r="O129" s="1013"/>
      <c r="P129" s="1013"/>
      <c r="Q129" s="1013"/>
      <c r="R129" s="1013"/>
    </row>
    <row r="130" spans="1:18" s="988" customFormat="1" ht="15.6" x14ac:dyDescent="0.3">
      <c r="A130" s="756" t="s">
        <v>227</v>
      </c>
      <c r="B130" s="760"/>
      <c r="C130" s="1019">
        <v>0</v>
      </c>
      <c r="D130" s="1020">
        <v>0.2</v>
      </c>
      <c r="E130" s="1166">
        <f t="shared" si="2"/>
        <v>0</v>
      </c>
      <c r="F130" s="1009"/>
      <c r="G130" s="1009"/>
      <c r="H130" s="1013"/>
      <c r="I130" s="1013"/>
      <c r="J130" s="1013"/>
      <c r="K130" s="1013"/>
      <c r="L130" s="1013"/>
      <c r="M130" s="1013"/>
      <c r="N130" s="1013"/>
      <c r="O130" s="1013"/>
      <c r="P130" s="1013"/>
      <c r="Q130" s="1013"/>
      <c r="R130" s="1013"/>
    </row>
    <row r="131" spans="1:18" s="988" customFormat="1" ht="17.25" customHeight="1" x14ac:dyDescent="0.3">
      <c r="A131" s="755" t="s">
        <v>73</v>
      </c>
      <c r="B131" s="756"/>
      <c r="C131" s="1019">
        <f>C127</f>
        <v>1500</v>
      </c>
      <c r="D131" s="1020">
        <v>1.6000000000000001E-4</v>
      </c>
      <c r="E131" s="1166">
        <f t="shared" si="2"/>
        <v>0.24</v>
      </c>
      <c r="F131" s="1009"/>
      <c r="G131" s="1009"/>
      <c r="H131" s="1013"/>
      <c r="I131" s="1013"/>
      <c r="J131" s="1013"/>
      <c r="K131" s="1013"/>
      <c r="L131" s="1013"/>
      <c r="M131" s="1013"/>
      <c r="N131" s="1013"/>
      <c r="O131" s="1013"/>
      <c r="P131" s="1013"/>
      <c r="Q131" s="1013"/>
      <c r="R131" s="1013"/>
    </row>
    <row r="132" spans="1:18" s="988" customFormat="1" ht="18" customHeight="1" x14ac:dyDescent="0.3">
      <c r="A132" s="755" t="s">
        <v>78</v>
      </c>
      <c r="B132" s="756"/>
      <c r="C132" s="1019">
        <f>C131</f>
        <v>1500</v>
      </c>
      <c r="D132" s="1020">
        <v>6.7999999999999996E-3</v>
      </c>
      <c r="E132" s="1166">
        <f t="shared" si="2"/>
        <v>10.199999999999999</v>
      </c>
      <c r="F132" s="1009"/>
      <c r="G132" s="1009"/>
      <c r="H132" s="1013"/>
      <c r="I132" s="1013"/>
      <c r="J132" s="1013"/>
      <c r="K132" s="1013"/>
      <c r="L132" s="1013"/>
      <c r="M132" s="1013"/>
      <c r="N132" s="1013"/>
      <c r="O132" s="1013"/>
      <c r="P132" s="1013"/>
      <c r="Q132" s="1013"/>
      <c r="R132" s="1013"/>
    </row>
    <row r="133" spans="1:18" s="988" customFormat="1" ht="16.5" customHeight="1" x14ac:dyDescent="0.3">
      <c r="A133" s="755" t="s">
        <v>79</v>
      </c>
      <c r="B133" s="756"/>
      <c r="C133" s="1019">
        <f>C132</f>
        <v>1500</v>
      </c>
      <c r="D133" s="1020">
        <v>0.01</v>
      </c>
      <c r="E133" s="1166">
        <f t="shared" si="2"/>
        <v>15</v>
      </c>
      <c r="F133" s="1009"/>
      <c r="G133" s="1009"/>
      <c r="H133" s="1013"/>
      <c r="I133" s="1013"/>
      <c r="J133" s="1013"/>
      <c r="K133" s="1013"/>
      <c r="L133" s="1013"/>
      <c r="M133" s="1013"/>
      <c r="N133" s="1013"/>
      <c r="O133" s="1013"/>
      <c r="P133" s="1013"/>
      <c r="Q133" s="1013"/>
      <c r="R133" s="1013"/>
    </row>
    <row r="134" spans="1:18" s="988" customFormat="1" ht="15.6" x14ac:dyDescent="0.3">
      <c r="A134" s="755" t="s">
        <v>79</v>
      </c>
      <c r="B134" s="756"/>
      <c r="C134" s="1019">
        <v>0</v>
      </c>
      <c r="D134" s="1020">
        <v>5.4999999999999997E-3</v>
      </c>
      <c r="E134" s="1166">
        <f t="shared" si="2"/>
        <v>0</v>
      </c>
      <c r="F134" s="1009"/>
      <c r="G134" s="1009"/>
      <c r="H134" s="1013"/>
      <c r="I134" s="1013"/>
      <c r="J134" s="1013"/>
      <c r="K134" s="1013"/>
      <c r="L134" s="1013"/>
      <c r="M134" s="1013"/>
      <c r="N134" s="1013"/>
      <c r="O134" s="1013"/>
      <c r="P134" s="1013"/>
      <c r="Q134" s="1013"/>
      <c r="R134" s="1013"/>
    </row>
    <row r="135" spans="1:18" s="988" customFormat="1" ht="15.6" x14ac:dyDescent="0.3">
      <c r="A135" s="755" t="s">
        <v>84</v>
      </c>
      <c r="B135" s="756"/>
      <c r="C135" s="1019">
        <v>0</v>
      </c>
      <c r="D135" s="1020">
        <v>4.4999999999999997E-3</v>
      </c>
      <c r="E135" s="1166">
        <f t="shared" si="2"/>
        <v>0</v>
      </c>
      <c r="F135" s="1009"/>
      <c r="G135" s="1009"/>
      <c r="H135" s="1013"/>
      <c r="I135" s="1013"/>
      <c r="J135" s="1013"/>
      <c r="K135" s="1013"/>
      <c r="L135" s="1013"/>
      <c r="M135" s="1013"/>
      <c r="N135" s="1013"/>
      <c r="O135" s="1013"/>
      <c r="P135" s="1013"/>
      <c r="Q135" s="1013"/>
      <c r="R135" s="1013"/>
    </row>
    <row r="136" spans="1:18" s="988" customFormat="1" ht="15.6" x14ac:dyDescent="0.3">
      <c r="A136" s="1013"/>
      <c r="B136" s="1013"/>
      <c r="C136" s="1009"/>
      <c r="D136" s="1013"/>
      <c r="E136" s="1019">
        <f>SUM(E125:E135)</f>
        <v>78.900000000000006</v>
      </c>
      <c r="F136" s="1009"/>
      <c r="G136" s="1013"/>
      <c r="H136" s="1013"/>
      <c r="I136" s="1013"/>
      <c r="J136" s="1013"/>
      <c r="K136" s="1013"/>
      <c r="L136" s="1013"/>
      <c r="M136" s="1013"/>
      <c r="N136" s="1013"/>
      <c r="O136" s="1013"/>
      <c r="P136" s="1013"/>
      <c r="Q136" s="1013"/>
      <c r="R136" s="1013"/>
    </row>
    <row r="137" spans="1:18" s="988" customFormat="1" ht="15.6" x14ac:dyDescent="0.3">
      <c r="A137" s="1032"/>
      <c r="B137" s="1032"/>
      <c r="C137" s="1029"/>
      <c r="D137" s="1030"/>
      <c r="E137" s="1030"/>
      <c r="F137" s="1029"/>
      <c r="G137" s="1029"/>
      <c r="H137" s="1011"/>
      <c r="I137" s="1011"/>
      <c r="J137" s="1013"/>
      <c r="K137" s="1013"/>
      <c r="L137" s="1013"/>
      <c r="M137" s="1013"/>
      <c r="N137" s="1013"/>
      <c r="O137" s="1013"/>
      <c r="P137" s="1013"/>
      <c r="Q137" s="1013"/>
      <c r="R137" s="1013"/>
    </row>
    <row r="138" spans="1:18" s="988" customFormat="1" ht="15.6" x14ac:dyDescent="0.3">
      <c r="A138" s="994"/>
      <c r="B138" s="994"/>
      <c r="C138" s="992"/>
      <c r="D138" s="993"/>
      <c r="E138" s="993"/>
      <c r="F138" s="992"/>
      <c r="G138" s="992"/>
      <c r="H138" s="990"/>
      <c r="I138" s="990"/>
      <c r="J138" s="991"/>
      <c r="K138" s="991"/>
      <c r="L138" s="991"/>
      <c r="M138" s="991"/>
      <c r="N138" s="991"/>
      <c r="O138" s="991"/>
      <c r="P138" s="991"/>
      <c r="Q138" s="991"/>
      <c r="R138" s="991"/>
    </row>
    <row r="139" spans="1:18" ht="13.8" x14ac:dyDescent="0.25"/>
  </sheetData>
  <mergeCells count="130">
    <mergeCell ref="A134:B134"/>
    <mergeCell ref="A135:B135"/>
    <mergeCell ref="A128:B128"/>
    <mergeCell ref="A129:B129"/>
    <mergeCell ref="A130:B130"/>
    <mergeCell ref="A131:B131"/>
    <mergeCell ref="A132:B132"/>
    <mergeCell ref="A133:B133"/>
    <mergeCell ref="D95:E95"/>
    <mergeCell ref="F95:G95"/>
    <mergeCell ref="A100:E100"/>
    <mergeCell ref="A125:B125"/>
    <mergeCell ref="A126:B126"/>
    <mergeCell ref="A127:B127"/>
    <mergeCell ref="A89:I89"/>
    <mergeCell ref="J89:L89"/>
    <mergeCell ref="A90:I90"/>
    <mergeCell ref="J90:L90"/>
    <mergeCell ref="A91:I91"/>
    <mergeCell ref="J91:L91"/>
    <mergeCell ref="A87:C88"/>
    <mergeCell ref="D87:E87"/>
    <mergeCell ref="F87:G87"/>
    <mergeCell ref="J87:K87"/>
    <mergeCell ref="D88:E88"/>
    <mergeCell ref="F88:G88"/>
    <mergeCell ref="J83:L83"/>
    <mergeCell ref="A84:I84"/>
    <mergeCell ref="J84:L84"/>
    <mergeCell ref="A85:I85"/>
    <mergeCell ref="J85:K85"/>
    <mergeCell ref="A86:I86"/>
    <mergeCell ref="A83:I83"/>
    <mergeCell ref="A78:B78"/>
    <mergeCell ref="A79:B79"/>
    <mergeCell ref="A80:B80"/>
    <mergeCell ref="A81:B81"/>
    <mergeCell ref="A82:B82"/>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2:B62"/>
    <mergeCell ref="A63:B63"/>
    <mergeCell ref="A64:B64"/>
    <mergeCell ref="M64:N64"/>
    <mergeCell ref="A56:B56"/>
    <mergeCell ref="A57:B57"/>
    <mergeCell ref="I57:J57"/>
    <mergeCell ref="M57:N57"/>
    <mergeCell ref="A58:B58"/>
    <mergeCell ref="A59:B59"/>
    <mergeCell ref="A52:B52"/>
    <mergeCell ref="A53:B53"/>
    <mergeCell ref="M53:O53"/>
    <mergeCell ref="A54:B54"/>
    <mergeCell ref="M54:N54"/>
    <mergeCell ref="A55:B55"/>
    <mergeCell ref="A46:B46"/>
    <mergeCell ref="A47:B47"/>
    <mergeCell ref="A49:B49"/>
    <mergeCell ref="L49:L50"/>
    <mergeCell ref="A50:B50"/>
    <mergeCell ref="A51:B51"/>
    <mergeCell ref="A40:B40"/>
    <mergeCell ref="A41:B41"/>
    <mergeCell ref="A42:B42"/>
    <mergeCell ref="A43:B43"/>
    <mergeCell ref="A44:B44"/>
    <mergeCell ref="A45:B45"/>
    <mergeCell ref="A35:B35"/>
    <mergeCell ref="A36:B36"/>
    <mergeCell ref="C36:G36"/>
    <mergeCell ref="A37:B37"/>
    <mergeCell ref="A38:B38"/>
    <mergeCell ref="A39:B39"/>
    <mergeCell ref="A30:F30"/>
    <mergeCell ref="A31:F31"/>
    <mergeCell ref="A32:F32"/>
    <mergeCell ref="A33:B33"/>
    <mergeCell ref="D33:I33"/>
    <mergeCell ref="A34:J34"/>
    <mergeCell ref="A24:F24"/>
    <mergeCell ref="A25:F25"/>
    <mergeCell ref="A26:F26"/>
    <mergeCell ref="A27:F27"/>
    <mergeCell ref="A28:F28"/>
    <mergeCell ref="A29:F29"/>
    <mergeCell ref="A18:F18"/>
    <mergeCell ref="A19:F19"/>
    <mergeCell ref="A20:F20"/>
    <mergeCell ref="A21:F21"/>
    <mergeCell ref="A22:F22"/>
    <mergeCell ref="A23:F23"/>
    <mergeCell ref="A12:J12"/>
    <mergeCell ref="A13:F13"/>
    <mergeCell ref="A14:F14"/>
    <mergeCell ref="A15:F15"/>
    <mergeCell ref="A16:F16"/>
    <mergeCell ref="A17:F17"/>
    <mergeCell ref="B8:D8"/>
    <mergeCell ref="G8:J8"/>
    <mergeCell ref="C9:D9"/>
    <mergeCell ref="F9:G9"/>
    <mergeCell ref="F10:G10"/>
    <mergeCell ref="B11:D11"/>
    <mergeCell ref="B5:D5"/>
    <mergeCell ref="G5:J5"/>
    <mergeCell ref="B6:D6"/>
    <mergeCell ref="G6:J6"/>
    <mergeCell ref="B7:D7"/>
    <mergeCell ref="G7:J7"/>
    <mergeCell ref="A1:J1"/>
    <mergeCell ref="A2:D2"/>
    <mergeCell ref="F2:J2"/>
    <mergeCell ref="B3:D3"/>
    <mergeCell ref="G3:J3"/>
    <mergeCell ref="B4:D4"/>
    <mergeCell ref="G4:J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4D470DE0-CBCF-4874-8BB9-7C5E929E0B24}">
      <formula1>$M$3:$M$5</formula1>
      <formula2>0</formula2>
    </dataValidation>
    <dataValidation operator="equal" allowBlank="1" showErrorMessage="1" errorTitle="Smic minimum" error="attention tatal brut au minimum égal au smic pour 151,67 h" sqref="J33" xr:uid="{469DCF9E-FE7E-4E20-9879-4F9BB7F2192C}">
      <formula1>0</formula1>
      <formula2>0</formula2>
    </dataValidation>
  </dataValidations>
  <pageMargins left="0.51181102362204722" right="0.11811023622047245" top="0.15748031496062992" bottom="0.15748031496062992" header="0.31496062992125984" footer="0.31496062992125984"/>
  <pageSetup paperSize="9" scale="80" orientation="portrait" cellComments="asDisplayed"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21</vt:i4>
      </vt:variant>
      <vt:variant>
        <vt:lpstr>Plages nommées</vt:lpstr>
      </vt:variant>
      <vt:variant>
        <vt:i4>1</vt:i4>
      </vt:variant>
    </vt:vector>
  </HeadingPairs>
  <TitlesOfParts>
    <vt:vector size="22" baseType="lpstr">
      <vt:lpstr>PRESENTATION </vt:lpstr>
      <vt:lpstr>INTRODUCTION </vt:lpstr>
      <vt:lpstr>Masque de Saisie</vt:lpstr>
      <vt:lpstr>BP VERSION JANVIER 2023</vt:lpstr>
      <vt:lpstr>ENONCE ET CORRECTION </vt:lpstr>
      <vt:lpstr>FEUILLE DE CONTROLE </vt:lpstr>
      <vt:lpstr>BP FORMAT JUILLET 2023</vt:lpstr>
      <vt:lpstr>HEURES SUPPLEMENTAIRES </vt:lpstr>
      <vt:lpstr>BP INDEMNITE DE GERANCE </vt:lpstr>
      <vt:lpstr>TABLE DES TAUX 2025 </vt:lpstr>
      <vt:lpstr>TR Matrice Net Imposable </vt:lpstr>
      <vt:lpstr>TR Matrice Cotisations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2025-05-14T08:23:40Z</cp:lastPrinted>
  <dcterms:created xsi:type="dcterms:W3CDTF">2019-09-02T13:46:41Z</dcterms:created>
  <dcterms:modified xsi:type="dcterms:W3CDTF">2025-05-14T08:24:28Z</dcterms:modified>
</cp:coreProperties>
</file>